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https://2050partners.sharepoint.com/sites/ieccadvocacy/Shared Documents/Cost effectiveness/"/>
    </mc:Choice>
  </mc:AlternateContent>
  <xr:revisionPtr revIDLastSave="0" documentId="8_{87C37799-074D-344E-81D1-15B8FF7F5691}" xr6:coauthVersionLast="47" xr6:coauthVersionMax="47" xr10:uidLastSave="{00000000-0000-0000-0000-000000000000}"/>
  <bookViews>
    <workbookView xWindow="0" yWindow="500" windowWidth="28800" windowHeight="16180" firstSheet="1" activeTab="2" xr2:uid="{905C77B0-A560-FC47-9BD9-0E60AFAAD419}"/>
  </bookViews>
  <sheets>
    <sheet name="Instructions" sheetId="3" r:id="rId1"/>
    <sheet name="Inputs&amp;Results" sheetId="1" r:id="rId2"/>
    <sheet name="Calculations" sheetId="2" r:id="rId3"/>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 l="1"/>
  <c r="B3" i="2" l="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J53"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Q24" i="2"/>
  <c r="S24" i="2"/>
  <c r="S25" i="2" s="1"/>
  <c r="S26" i="2" s="1"/>
  <c r="S27" i="2" s="1"/>
  <c r="S28" i="2" s="1"/>
  <c r="R24" i="2"/>
  <c r="R25" i="2" s="1"/>
  <c r="R26" i="2" s="1"/>
  <c r="G24" i="2"/>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O49" i="2"/>
  <c r="O50" i="2" s="1"/>
  <c r="O51" i="2" s="1"/>
  <c r="O52" i="2" s="1"/>
  <c r="O44" i="2"/>
  <c r="O45" i="2" s="1"/>
  <c r="O46" i="2" s="1"/>
  <c r="O47" i="2" s="1"/>
  <c r="O39" i="2"/>
  <c r="O40" i="2" s="1"/>
  <c r="O41" i="2" s="1"/>
  <c r="O42" i="2" s="1"/>
  <c r="O34" i="2"/>
  <c r="O35" i="2" s="1"/>
  <c r="O36" i="2" s="1"/>
  <c r="O37" i="2" s="1"/>
  <c r="O29" i="2"/>
  <c r="O30" i="2" s="1"/>
  <c r="O31" i="2" s="1"/>
  <c r="O32" i="2" s="1"/>
  <c r="O24" i="2"/>
  <c r="O25" i="2" s="1"/>
  <c r="O26" i="2" s="1"/>
  <c r="O27" i="2" s="1"/>
  <c r="H24" i="2"/>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E24" i="2"/>
  <c r="D24" i="2"/>
  <c r="D25" i="2" s="1"/>
  <c r="C23" i="2"/>
  <c r="B23" i="2"/>
  <c r="J14" i="1" l="1"/>
  <c r="E25" i="2"/>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Q25" i="2"/>
  <c r="N24" i="2"/>
  <c r="K24" i="2"/>
  <c r="K23" i="2"/>
  <c r="R27" i="2"/>
  <c r="R28" i="2" s="1"/>
  <c r="R29" i="2" s="1"/>
  <c r="R30" i="2" s="1"/>
  <c r="R31" i="2" s="1"/>
  <c r="R32" i="2" s="1"/>
  <c r="R33" i="2" s="1"/>
  <c r="R34" i="2" s="1"/>
  <c r="R35" i="2" s="1"/>
  <c r="R36" i="2" s="1"/>
  <c r="R37" i="2" s="1"/>
  <c r="R38" i="2" s="1"/>
  <c r="R39" i="2" s="1"/>
  <c r="R40" i="2" s="1"/>
  <c r="R41" i="2" s="1"/>
  <c r="R42" i="2" s="1"/>
  <c r="R43" i="2" s="1"/>
  <c r="R44" i="2" s="1"/>
  <c r="R45" i="2" s="1"/>
  <c r="R46" i="2" s="1"/>
  <c r="R47" i="2" s="1"/>
  <c r="R48" i="2" s="1"/>
  <c r="R49" i="2" s="1"/>
  <c r="R50" i="2" s="1"/>
  <c r="R51" i="2" s="1"/>
  <c r="R52" i="2" s="1"/>
  <c r="R53" i="2" s="1"/>
  <c r="S29" i="2"/>
  <c r="D26" i="2"/>
  <c r="K25" i="2" l="1"/>
  <c r="J10" i="1"/>
  <c r="Q26" i="2"/>
  <c r="N25" i="2"/>
  <c r="D27" i="2"/>
  <c r="K27" i="2" s="1"/>
  <c r="K26" i="2"/>
  <c r="S30" i="2"/>
  <c r="Q27" i="2" l="1"/>
  <c r="N26" i="2"/>
  <c r="S31" i="2"/>
  <c r="N27" i="2" l="1"/>
  <c r="Q28" i="2"/>
  <c r="S32" i="2"/>
  <c r="Q29" i="2" l="1"/>
  <c r="N28" i="2"/>
  <c r="S33" i="2"/>
  <c r="Q30" i="2" l="1"/>
  <c r="N29" i="2"/>
  <c r="S34" i="2"/>
  <c r="Q31" i="2" l="1"/>
  <c r="N30" i="2"/>
  <c r="S35" i="2"/>
  <c r="Q32" i="2" l="1"/>
  <c r="N31" i="2"/>
  <c r="S36" i="2"/>
  <c r="Q33" i="2" l="1"/>
  <c r="N32" i="2"/>
  <c r="S37" i="2"/>
  <c r="Q34" i="2" l="1"/>
  <c r="N33" i="2"/>
  <c r="S38" i="2"/>
  <c r="Q35" i="2" l="1"/>
  <c r="N34" i="2"/>
  <c r="S39" i="2"/>
  <c r="Q36" i="2" l="1"/>
  <c r="N35" i="2"/>
  <c r="S40" i="2"/>
  <c r="Q37" i="2" l="1"/>
  <c r="N36" i="2"/>
  <c r="S41" i="2"/>
  <c r="Q38" i="2" l="1"/>
  <c r="N37" i="2"/>
  <c r="S42" i="2"/>
  <c r="Q39" i="2" l="1"/>
  <c r="N38" i="2"/>
  <c r="S43" i="2"/>
  <c r="Q40" i="2" l="1"/>
  <c r="N39" i="2"/>
  <c r="S44" i="2"/>
  <c r="Q41" i="2" l="1"/>
  <c r="N40" i="2"/>
  <c r="S45" i="2"/>
  <c r="Q42" i="2" l="1"/>
  <c r="N41" i="2"/>
  <c r="S46" i="2"/>
  <c r="Q43" i="2" l="1"/>
  <c r="N42" i="2"/>
  <c r="S47" i="2"/>
  <c r="Q44" i="2" l="1"/>
  <c r="N43" i="2"/>
  <c r="S48" i="2"/>
  <c r="Q45" i="2" l="1"/>
  <c r="N44" i="2"/>
  <c r="S49" i="2"/>
  <c r="Q46" i="2" l="1"/>
  <c r="N45" i="2"/>
  <c r="S50" i="2"/>
  <c r="Q47" i="2" l="1"/>
  <c r="N46" i="2"/>
  <c r="S51" i="2"/>
  <c r="Q48" i="2" l="1"/>
  <c r="N47" i="2"/>
  <c r="S52" i="2"/>
  <c r="Q49" i="2" l="1"/>
  <c r="N48" i="2"/>
  <c r="S53" i="2"/>
  <c r="D28" i="2"/>
  <c r="Q50" i="2" l="1"/>
  <c r="N49" i="2"/>
  <c r="K28" i="2"/>
  <c r="D29" i="2"/>
  <c r="K29" i="2" s="1"/>
  <c r="Q51" i="2" l="1"/>
  <c r="N50" i="2"/>
  <c r="D30" i="2"/>
  <c r="K30" i="2" s="1"/>
  <c r="Q52" i="2" l="1"/>
  <c r="N51" i="2"/>
  <c r="D31" i="2"/>
  <c r="K31" i="2" s="1"/>
  <c r="Q53" i="2" l="1"/>
  <c r="N53" i="2" s="1"/>
  <c r="N52" i="2"/>
  <c r="D32" i="2"/>
  <c r="K32" i="2" s="1"/>
  <c r="D33" i="2" l="1"/>
  <c r="K33" i="2" s="1"/>
  <c r="D34" i="2" l="1"/>
  <c r="K34" i="2" s="1"/>
  <c r="D35" i="2" l="1"/>
  <c r="K35" i="2" s="1"/>
  <c r="D36" i="2" l="1"/>
  <c r="K36" i="2" s="1"/>
  <c r="D37" i="2" l="1"/>
  <c r="K37" i="2" s="1"/>
  <c r="D38" i="2" l="1"/>
  <c r="K38" i="2" s="1"/>
  <c r="D39" i="2" l="1"/>
  <c r="K39" i="2" s="1"/>
  <c r="D40" i="2" l="1"/>
  <c r="K40" i="2" s="1"/>
  <c r="D41" i="2" l="1"/>
  <c r="K41" i="2" s="1"/>
  <c r="D42" i="2" l="1"/>
  <c r="K42" i="2" s="1"/>
  <c r="D43" i="2" l="1"/>
  <c r="K43" i="2" s="1"/>
  <c r="D44" i="2" l="1"/>
  <c r="K44" i="2" s="1"/>
  <c r="D45" i="2" l="1"/>
  <c r="K45" i="2" s="1"/>
  <c r="D46" i="2" l="1"/>
  <c r="K46" i="2" s="1"/>
  <c r="D47" i="2" l="1"/>
  <c r="K47" i="2" s="1"/>
  <c r="D48" i="2" l="1"/>
  <c r="K48" i="2" s="1"/>
  <c r="D49" i="2" l="1"/>
  <c r="K49" i="2" s="1"/>
  <c r="D50" i="2" l="1"/>
  <c r="K50" i="2" s="1"/>
  <c r="D51" i="2" l="1"/>
  <c r="K51" i="2" s="1"/>
  <c r="D52" i="2" l="1"/>
  <c r="K52" i="2" s="1"/>
  <c r="D53" i="2" l="1"/>
  <c r="K53" i="2" l="1"/>
  <c r="G13" i="1" s="1"/>
  <c r="I13" i="1" l="1"/>
  <c r="H13" i="1"/>
  <c r="H9" i="1"/>
  <c r="I9" i="1"/>
  <c r="G9" i="1"/>
  <c r="K55" i="2"/>
</calcChain>
</file>

<file path=xl/sharedStrings.xml><?xml version="1.0" encoding="utf-8"?>
<sst xmlns="http://schemas.openxmlformats.org/spreadsheetml/2006/main" count="152" uniqueCount="119">
  <si>
    <t>This tool can be used to calculate the lifecycle cost (LCC) of proposed IECC amendments. Users can enter an amendment's estimated costs and energy savings on the Inputs&amp;Results tab and see the LCC and simple payback with and without the social cost of carbon.
Savings for a particular proposed measure can vary by climate zone and heating fuel type. For a comprehensive analysis that breaks out savings by climate zone and/or heating fuel, the LCC analysis can be performed before or after weighting factors are applied: the LCC can be calculated using individual savings values for a particular climate zone and/or heating fuel, which can then be weighted to provide a compsite LCC, or weighted composite savings can be used as the inputs into the LCC tool. The PNNL analysis of IECC 2021 (https://www.energycodes.gov/sites/default/files/2021-07/2021_IECC_Final_Determination_AnalysisTSD.pdf) has detailed weighting factors by climate zone, foundation type, and heating type that can be used to calculate weighted composite results. It also has recommended representitive locations for each climate zone.
The following input areas are used:
Proposal information
General information about the proposal can be entered here to better identify it when the results are saved or printed.
Methodology
A detailed description of the methods, models, and sources used to estimate measure costs and energy savings should be entered here.
Inputs
Required information: estimated measure costs and changes in annual energy consumption must be entered here. A negative value for energy savings should be used when consumption of a particular fuel increases.
Where applicable: any changes in non-energy operating costs should also be entered in the appropriate box in this section. For measures with an estimate life of less than 30 years, enter the year or years or replacement (number of years from date of construction) and the estimated replacement cost. The replacement cost should be in $2020. The calculator will apply inflation appropriately. Estimated changes in replacement costs due to economies of scale or other future impacts beyond normal inflation should be included in the estimated replacement cost entered.
Results
This section displays the LCC using three discount rates and simple payback calculations. Results are provided both including the social cost of carbon and without it (i.e. setting the social cost of carbon equal to $0).
Questions can be directed to Jamie Howland, jamiehowland@2050partners.com</t>
  </si>
  <si>
    <t>LCC Calculator - IECC Residential</t>
  </si>
  <si>
    <t>Enter values into blue boxes</t>
  </si>
  <si>
    <t>Proposal information</t>
  </si>
  <si>
    <t>Results</t>
  </si>
  <si>
    <t>Proposal number</t>
  </si>
  <si>
    <t>REPI-</t>
  </si>
  <si>
    <t>Discount Rate</t>
  </si>
  <si>
    <t>CDP ID#</t>
  </si>
  <si>
    <t>3% real</t>
  </si>
  <si>
    <t>7% real</t>
  </si>
  <si>
    <t>Proponent</t>
  </si>
  <si>
    <t>DOE</t>
  </si>
  <si>
    <t>OMB</t>
  </si>
  <si>
    <t>Climate zone(s) analyzed</t>
  </si>
  <si>
    <t>Enter specific climate zone or zones included in the analysis below</t>
  </si>
  <si>
    <t>With SCC value</t>
  </si>
  <si>
    <t>Additional Notes</t>
  </si>
  <si>
    <t>Measure incremental LCC</t>
  </si>
  <si>
    <t>2020$ (+ for savings, - for increased cost)</t>
  </si>
  <si>
    <t>Simple payback</t>
  </si>
  <si>
    <t>Years</t>
  </si>
  <si>
    <t>Methodology</t>
  </si>
  <si>
    <t>Description of measure cost methodology</t>
  </si>
  <si>
    <t>With SCC = $0</t>
  </si>
  <si>
    <t>Description of savings calculation methodology. Include information about climate zones and fuel types where appropriate.</t>
  </si>
  <si>
    <t>Inputs</t>
  </si>
  <si>
    <t>Net measure cost</t>
  </si>
  <si>
    <t>2020$, measure cost to consumer, including markup, less tax credits or other incentives</t>
  </si>
  <si>
    <t>Measure electric savings</t>
  </si>
  <si>
    <t>kWh/year</t>
  </si>
  <si>
    <t>Measure natural gas savings</t>
  </si>
  <si>
    <t>therms/year</t>
  </si>
  <si>
    <t>Measure propane savings</t>
  </si>
  <si>
    <t>gallons/year</t>
  </si>
  <si>
    <t>If applicable:</t>
  </si>
  <si>
    <t>Change in maintenance or other non-energy operating costs</t>
  </si>
  <si>
    <t>2020$/year (+ for increased cost, - for decreased cost)</t>
  </si>
  <si>
    <t>Replacement cost</t>
  </si>
  <si>
    <t>2020$</t>
  </si>
  <si>
    <t>Year of first replacement</t>
  </si>
  <si>
    <t>For measures with life &lt;30 years, # of years from date of construction</t>
  </si>
  <si>
    <t>Year of second replacement</t>
  </si>
  <si>
    <t>Value</t>
  </si>
  <si>
    <t>Units</t>
  </si>
  <si>
    <t>Source</t>
  </si>
  <si>
    <t>Link</t>
  </si>
  <si>
    <t>2021 Electricity Price</t>
  </si>
  <si>
    <t>$/kWh</t>
  </si>
  <si>
    <t>Electric power monthly</t>
  </si>
  <si>
    <t>https://www.eia.gov/electricity/monthly/epm_table_grapher.php?t=table_5_03</t>
  </si>
  <si>
    <t>2021 Natural Gas Price</t>
  </si>
  <si>
    <t>$/therm</t>
  </si>
  <si>
    <t>Natural gas annual, converted to therms</t>
  </si>
  <si>
    <t>https://www.eia.gov/dnav/ng/ng_pri_sum_a_EPG0_PRS_DMcf_a.htm, https://www.eia.gov/totalenergy/data/monthly/pdf/sec12_5.pdf</t>
  </si>
  <si>
    <t>2021 Propane Price</t>
  </si>
  <si>
    <t>$/gal</t>
  </si>
  <si>
    <t>2021 average US residential heating season monthly price, EIA</t>
  </si>
  <si>
    <t>https://www.eia.gov/dnav/pet/pet_pri_wfr_dcus_nus_m.htm</t>
  </si>
  <si>
    <t>Electricity price escalator</t>
  </si>
  <si>
    <t>%</t>
  </si>
  <si>
    <t>2021 AEO. Reference case</t>
  </si>
  <si>
    <t>https://www.eia.gov/outlooks/aeo/excel/aeotab_3.xlsx</t>
  </si>
  <si>
    <t>Natural gas price escalator</t>
  </si>
  <si>
    <t>Propane price escalator</t>
  </si>
  <si>
    <t>Loan term</t>
  </si>
  <si>
    <t>PNNL 2021 Analysis</t>
  </si>
  <si>
    <t>https://www.energycodes.gov/sites/default/files/2021-07/2021IECC_CostEffectiveness_Final_Residential.pdf</t>
  </si>
  <si>
    <t>30 Year mortgage rate</t>
  </si>
  <si>
    <t>% nominal</t>
  </si>
  <si>
    <t>Mortgage fees and prepaid interest</t>
  </si>
  <si>
    <t>Mortgage down payment</t>
  </si>
  <si>
    <t>Discount rate 1</t>
  </si>
  <si>
    <t>30-year mortgage rate (PNNL)</t>
  </si>
  <si>
    <t>Discount rate 2</t>
  </si>
  <si>
    <t>% real</t>
  </si>
  <si>
    <t>2003 OMB Circular A-4</t>
  </si>
  <si>
    <t>https://www.whitehouse.gov/wp-content/uploads/legacy_drupal_files/omb/circulars/A4/a-4.pdf</t>
  </si>
  <si>
    <t>Discount rate 3</t>
  </si>
  <si>
    <t>Inflation rate</t>
  </si>
  <si>
    <t>2021 AEO</t>
  </si>
  <si>
    <t>https://www.eia.gov/outlooks/aeo/excel/aeotab_20.xlsx</t>
  </si>
  <si>
    <t>Electricity emissions factor</t>
  </si>
  <si>
    <t>lbs/MWh</t>
  </si>
  <si>
    <t>EIA</t>
  </si>
  <si>
    <t>https://www.eia.gov/electricity/state/unitedstates/</t>
  </si>
  <si>
    <t>Gas emissions factor</t>
  </si>
  <si>
    <t>kg/mmbtu</t>
  </si>
  <si>
    <t>https://www.eia.gov/environment/emissions/co2_vol_mass.php</t>
  </si>
  <si>
    <t>Propane emissions factor</t>
  </si>
  <si>
    <t>kg/gal</t>
  </si>
  <si>
    <t>SCC</t>
  </si>
  <si>
    <t>See table</t>
  </si>
  <si>
    <t>$/metric ton</t>
  </si>
  <si>
    <t>Interagency Working Group on Social Cost of Greenhouse Gases - 2021 figures with linear interpolation</t>
  </si>
  <si>
    <t>https://www.whitehouse.gov/wp-content/uploads/2021/02/TechnicalSupportDocument_SocialCostofCarbonMethaneNitrousOxide.pdf</t>
  </si>
  <si>
    <t>SCC discount rate</t>
  </si>
  <si>
    <t>Without SCC</t>
  </si>
  <si>
    <t xml:space="preserve">SCC savings </t>
  </si>
  <si>
    <t>Real $/tonne</t>
  </si>
  <si>
    <t>Carbon savings electric</t>
  </si>
  <si>
    <t>Carbon savings gas</t>
  </si>
  <si>
    <t>Carbon savings propane</t>
  </si>
  <si>
    <t>Down Pmt</t>
  </si>
  <si>
    <t>Fees</t>
  </si>
  <si>
    <t>Mortgage payment</t>
  </si>
  <si>
    <t>Electric savings</t>
  </si>
  <si>
    <t>Gas savings</t>
  </si>
  <si>
    <t>Propane savings</t>
  </si>
  <si>
    <t>Maintenance</t>
  </si>
  <si>
    <t>Replacement</t>
  </si>
  <si>
    <t>Residual value</t>
  </si>
  <si>
    <t>Net cash flow</t>
  </si>
  <si>
    <t>real</t>
  </si>
  <si>
    <t>SCC, 3%</t>
  </si>
  <si>
    <t>Tonne</t>
  </si>
  <si>
    <t>FreddieMac, average of past 5 years for 30 year mortgages</t>
  </si>
  <si>
    <t>http://www.freddiemac.com/pmms/</t>
  </si>
  <si>
    <t>3.84% nominal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</si>
</sst>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_);[Red]\(0.00\)"/>
    <numFmt numFmtId="165" formatCode="0.0000"/>
  </numFmts>
  <fonts count="7" x14ac:knownFonts="1">
    <font>
      <sz val="12"/>
      <color theme="1"/>
      <name val="Calibri"/>
      <family val="2"/>
      <scheme val="minor"/>
    </font>
    <font>
      <sz val="8"/>
      <name val="Calibri"/>
      <family val="2"/>
      <scheme val="minor"/>
    </font>
    <font>
      <sz val="20"/>
      <color theme="1"/>
      <name val="Calibri"/>
      <family val="2"/>
      <scheme val="minor"/>
    </font>
    <font>
      <b/>
      <sz val="20"/>
      <color theme="1"/>
      <name val="Calibri"/>
      <family val="2"/>
      <scheme val="minor"/>
    </font>
    <font>
      <b/>
      <u/>
      <sz val="26"/>
      <color theme="1"/>
      <name val="Calibri"/>
      <family val="2"/>
      <scheme val="minor"/>
    </font>
    <font>
      <sz val="16"/>
      <color theme="1"/>
      <name val="Calibri"/>
      <family val="2"/>
      <scheme val="minor"/>
    </font>
    <font>
      <u/>
      <sz val="12"/>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10" fontId="0" fillId="0" borderId="0" xfId="0" applyNumberFormat="1"/>
    <xf numFmtId="9" fontId="0" fillId="0" borderId="0" xfId="0" applyNumberFormat="1"/>
    <xf numFmtId="8" fontId="0" fillId="0" borderId="0" xfId="0" applyNumberFormat="1"/>
    <xf numFmtId="2" fontId="0" fillId="0" borderId="0" xfId="0" applyNumberFormat="1"/>
    <xf numFmtId="164" fontId="0" fillId="0" borderId="0" xfId="0" applyNumberFormat="1"/>
    <xf numFmtId="0" fontId="2" fillId="0" borderId="0" xfId="0" applyFont="1"/>
    <xf numFmtId="0" fontId="2" fillId="0" borderId="1" xfId="0" applyFont="1" applyBorder="1"/>
    <xf numFmtId="0" fontId="2" fillId="0" borderId="3" xfId="0" applyFont="1" applyBorder="1"/>
    <xf numFmtId="0" fontId="2" fillId="0" borderId="4" xfId="0" applyFont="1" applyBorder="1"/>
    <xf numFmtId="0" fontId="2" fillId="0" borderId="5" xfId="0" applyFont="1" applyBorder="1"/>
    <xf numFmtId="49" fontId="2" fillId="0" borderId="4" xfId="0" applyNumberFormat="1" applyFont="1" applyBorder="1" applyAlignment="1">
      <alignment wrapText="1"/>
    </xf>
    <xf numFmtId="0" fontId="2" fillId="0" borderId="6" xfId="0" applyFont="1" applyBorder="1"/>
    <xf numFmtId="0" fontId="2" fillId="0" borderId="8" xfId="0" applyFont="1" applyBorder="1"/>
    <xf numFmtId="165" fontId="0" fillId="0" borderId="0" xfId="0" applyNumberFormat="1"/>
    <xf numFmtId="0" fontId="2" fillId="0" borderId="4" xfId="0" applyFont="1" applyBorder="1" applyAlignment="1">
      <alignment vertical="top"/>
    </xf>
    <xf numFmtId="0" fontId="2" fillId="0" borderId="2" xfId="0" applyFont="1" applyBorder="1"/>
    <xf numFmtId="0" fontId="2" fillId="3" borderId="4" xfId="0" applyFont="1" applyFill="1" applyBorder="1"/>
    <xf numFmtId="8" fontId="2" fillId="3" borderId="0" xfId="0" applyNumberFormat="1" applyFont="1" applyFill="1"/>
    <xf numFmtId="0" fontId="0" fillId="0" borderId="4" xfId="0" applyBorder="1"/>
    <xf numFmtId="0" fontId="0" fillId="0" borderId="5" xfId="0" applyBorder="1"/>
    <xf numFmtId="0" fontId="2" fillId="3" borderId="6" xfId="0" applyFont="1" applyFill="1" applyBorder="1"/>
    <xf numFmtId="0" fontId="3" fillId="0" borderId="0" xfId="0" applyFont="1"/>
    <xf numFmtId="0" fontId="4" fillId="0" borderId="0" xfId="0" applyFont="1"/>
    <xf numFmtId="0" fontId="2" fillId="0" borderId="6" xfId="0" applyFont="1" applyBorder="1" applyAlignment="1">
      <alignment horizontal="left" vertical="top" wrapText="1"/>
    </xf>
    <xf numFmtId="0" fontId="2" fillId="0" borderId="1" xfId="0" applyFont="1" applyBorder="1" applyAlignment="1">
      <alignment vertical="top" wrapText="1"/>
    </xf>
    <xf numFmtId="49" fontId="5" fillId="2" borderId="3" xfId="0" applyNumberFormat="1" applyFont="1" applyFill="1" applyBorder="1" applyAlignment="1">
      <alignment vertical="top" wrapText="1"/>
    </xf>
    <xf numFmtId="0" fontId="0" fillId="0" borderId="0" xfId="0" applyAlignment="1">
      <alignment wrapText="1"/>
    </xf>
    <xf numFmtId="49" fontId="2" fillId="2" borderId="8" xfId="0" applyNumberFormat="1" applyFont="1" applyFill="1" applyBorder="1" applyAlignment="1">
      <alignment horizontal="left" vertical="top" wrapText="1"/>
    </xf>
    <xf numFmtId="0" fontId="2" fillId="0" borderId="6" xfId="0" applyFont="1" applyBorder="1" applyAlignment="1">
      <alignment vertical="top" wrapText="1"/>
    </xf>
    <xf numFmtId="49" fontId="5" fillId="2" borderId="8" xfId="0" applyNumberFormat="1" applyFont="1" applyFill="1" applyBorder="1" applyAlignment="1">
      <alignment horizontal="left" vertical="top" wrapText="1"/>
    </xf>
    <xf numFmtId="49" fontId="0" fillId="0" borderId="0" xfId="0" applyNumberFormat="1" applyAlignment="1">
      <alignment horizontal="left" vertical="top" wrapText="1"/>
    </xf>
    <xf numFmtId="40" fontId="2" fillId="3" borderId="0" xfId="0" applyNumberFormat="1" applyFont="1" applyFill="1" applyAlignment="1">
      <alignment horizontal="right"/>
    </xf>
    <xf numFmtId="40" fontId="2" fillId="3" borderId="7" xfId="0" applyNumberFormat="1" applyFont="1" applyFill="1" applyBorder="1" applyAlignment="1">
      <alignment horizontal="right"/>
    </xf>
    <xf numFmtId="0" fontId="6" fillId="0" borderId="0" xfId="1"/>
    <xf numFmtId="0" fontId="2" fillId="0" borderId="0" xfId="0" applyFont="1" applyAlignment="1">
      <alignment horizontal="center"/>
    </xf>
    <xf numFmtId="8" fontId="2" fillId="0" borderId="0" xfId="0" applyNumberFormat="1" applyFont="1"/>
    <xf numFmtId="0" fontId="2" fillId="0" borderId="3" xfId="0" applyFont="1" applyBorder="1" applyAlignment="1">
      <alignment wrapText="1"/>
    </xf>
    <xf numFmtId="0" fontId="2" fillId="2" borderId="2" xfId="0" applyFont="1" applyFill="1" applyBorder="1" applyProtection="1">
      <protection locked="0"/>
    </xf>
    <xf numFmtId="49" fontId="2" fillId="2" borderId="0" xfId="0" applyNumberFormat="1" applyFont="1" applyFill="1" applyAlignment="1" applyProtection="1">
      <alignment wrapText="1"/>
      <protection locked="0"/>
    </xf>
    <xf numFmtId="49" fontId="5" fillId="2" borderId="7" xfId="0" applyNumberFormat="1" applyFont="1" applyFill="1" applyBorder="1" applyAlignment="1" applyProtection="1">
      <alignment horizontal="left" vertical="top" wrapText="1"/>
      <protection locked="0"/>
    </xf>
    <xf numFmtId="0" fontId="0" fillId="0" borderId="0" xfId="0" applyProtection="1">
      <protection locked="0"/>
    </xf>
    <xf numFmtId="49" fontId="5" fillId="2" borderId="2" xfId="0" applyNumberFormat="1" applyFont="1" applyFill="1" applyBorder="1" applyAlignment="1" applyProtection="1">
      <alignment horizontal="left" vertical="top" wrapText="1"/>
      <protection locked="0"/>
    </xf>
    <xf numFmtId="0" fontId="2" fillId="2" borderId="0" xfId="0" applyFont="1" applyFill="1" applyProtection="1">
      <protection locked="0"/>
    </xf>
    <xf numFmtId="0" fontId="2" fillId="0" borderId="0" xfId="0" applyFont="1" applyProtection="1">
      <protection locked="0"/>
    </xf>
    <xf numFmtId="0" fontId="2" fillId="2" borderId="7" xfId="0" applyFont="1" applyFill="1" applyBorder="1" applyProtection="1">
      <protection locked="0"/>
    </xf>
    <xf numFmtId="0" fontId="2" fillId="0" borderId="9"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www.eia.gov/outlooks/aeo/excel/aeotab_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7D50-E31B-EA49-B0E5-075757257432}">
  <dimension ref="A2"/>
  <sheetViews>
    <sheetView zoomScale="130" zoomScaleNormal="130" workbookViewId="0">
      <selection activeCell="A2" sqref="A2"/>
    </sheetView>
  </sheetViews>
  <sheetFormatPr baseColWidth="10" defaultColWidth="11" defaultRowHeight="16" x14ac:dyDescent="0.2"/>
  <cols>
    <col min="1" max="1" width="224" customWidth="1"/>
  </cols>
  <sheetData>
    <row r="2" spans="1:1" s="27" customFormat="1" ht="409" customHeight="1" x14ac:dyDescent="0.2">
      <c r="A2" s="31" t="s">
        <v>0</v>
      </c>
    </row>
  </sheetData>
  <sheetProtection algorithmName="SHA-512" hashValue="GZ0maKcn3KKZnCOUyCytFJeND2Q2PFPORHceJPnzBhBchgv84aCkJQ6/9N4pRS5RPi7ailrgtoMd4zX3CRWV5g==" saltValue="Y/UNsYmu9M07kLNQ00z9A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9D88-27D8-C848-A466-D6632AFA4316}">
  <dimension ref="B1:M29"/>
  <sheetViews>
    <sheetView zoomScale="55" zoomScaleNormal="55" workbookViewId="0">
      <selection activeCell="G21" sqref="G21:G22"/>
    </sheetView>
  </sheetViews>
  <sheetFormatPr baseColWidth="10" defaultColWidth="11" defaultRowHeight="16" x14ac:dyDescent="0.2"/>
  <cols>
    <col min="1" max="1" width="2.83203125" customWidth="1"/>
    <col min="2" max="2" width="52.1640625" customWidth="1"/>
    <col min="3" max="3" width="52.5" customWidth="1"/>
    <col min="4" max="4" width="100.83203125" customWidth="1"/>
    <col min="6" max="6" width="37.1640625" customWidth="1"/>
    <col min="7" max="10" width="25" customWidth="1"/>
    <col min="11" max="11" width="59.83203125" customWidth="1"/>
  </cols>
  <sheetData>
    <row r="1" spans="2:13" ht="36" customHeight="1" x14ac:dyDescent="0.4">
      <c r="B1" s="23" t="s">
        <v>1</v>
      </c>
    </row>
    <row r="2" spans="2:13" ht="27" customHeight="1" x14ac:dyDescent="0.3">
      <c r="B2" s="6" t="s">
        <v>2</v>
      </c>
    </row>
    <row r="3" spans="2:13" ht="27" customHeight="1" x14ac:dyDescent="0.3">
      <c r="B3" s="6"/>
    </row>
    <row r="4" spans="2:13" ht="27" customHeight="1" x14ac:dyDescent="0.3">
      <c r="B4" s="22" t="s">
        <v>3</v>
      </c>
      <c r="F4" s="22" t="s">
        <v>4</v>
      </c>
      <c r="G4" s="6"/>
      <c r="H4" s="6"/>
      <c r="I4" s="6"/>
      <c r="J4" s="6"/>
      <c r="K4" s="6"/>
    </row>
    <row r="5" spans="2:13" ht="27" customHeight="1" x14ac:dyDescent="0.3">
      <c r="B5" s="7" t="s">
        <v>5</v>
      </c>
      <c r="C5" s="38" t="s">
        <v>6</v>
      </c>
      <c r="D5" s="8"/>
      <c r="F5" s="7"/>
      <c r="G5" s="46" t="s">
        <v>7</v>
      </c>
      <c r="H5" s="46"/>
      <c r="I5" s="46"/>
      <c r="J5" s="16"/>
      <c r="K5" s="8"/>
    </row>
    <row r="6" spans="2:13" ht="27" customHeight="1" x14ac:dyDescent="0.3">
      <c r="B6" s="15" t="s">
        <v>8</v>
      </c>
      <c r="C6" s="39"/>
      <c r="D6" s="10"/>
      <c r="F6" s="9"/>
      <c r="G6" s="35" t="s">
        <v>118</v>
      </c>
      <c r="H6" s="35" t="s">
        <v>9</v>
      </c>
      <c r="I6" s="35" t="s">
        <v>10</v>
      </c>
      <c r="J6" s="6"/>
      <c r="K6" s="10"/>
    </row>
    <row r="7" spans="2:13" ht="27" customHeight="1" x14ac:dyDescent="0.3">
      <c r="B7" s="9" t="s">
        <v>11</v>
      </c>
      <c r="C7" s="39"/>
      <c r="D7" s="10"/>
      <c r="F7" s="9"/>
      <c r="G7" s="35" t="s">
        <v>12</v>
      </c>
      <c r="H7" s="35" t="s">
        <v>13</v>
      </c>
      <c r="I7" s="35" t="s">
        <v>13</v>
      </c>
      <c r="J7" s="6"/>
      <c r="K7" s="10"/>
    </row>
    <row r="8" spans="2:13" ht="27" customHeight="1" x14ac:dyDescent="0.3">
      <c r="B8" s="9" t="s">
        <v>14</v>
      </c>
      <c r="C8" s="39"/>
      <c r="D8" s="10" t="s">
        <v>15</v>
      </c>
      <c r="F8" s="9" t="s">
        <v>16</v>
      </c>
      <c r="G8" s="6"/>
      <c r="H8" s="6"/>
      <c r="I8" s="6"/>
      <c r="J8" s="6"/>
      <c r="K8" s="10"/>
    </row>
    <row r="9" spans="2:13" s="27" customFormat="1" ht="27" x14ac:dyDescent="0.3">
      <c r="B9" s="29" t="s">
        <v>17</v>
      </c>
      <c r="C9" s="40"/>
      <c r="D9" s="28"/>
      <c r="F9" s="17" t="s">
        <v>18</v>
      </c>
      <c r="G9" s="18">
        <f>Calculations!K23+NPV(Calculations!B12,Calculations!K24:K53)+NPV(Calculations!B20,Calculations!N24:N53)</f>
        <v>0</v>
      </c>
      <c r="H9" s="18">
        <f>Calculations!K23+NPV(Calculations!B13+Calculations!B15,Calculations!K24:K53)+NPV(Calculations!B20,Calculations!N24:N53)</f>
        <v>0</v>
      </c>
      <c r="I9" s="18">
        <f>Calculations!K23+NPV(Calculations!B14+Calculations!B15,Calculations!K24:K53)+NPV(Calculations!B20,Calculations!N24:N53)</f>
        <v>0</v>
      </c>
      <c r="J9" s="18"/>
      <c r="K9" s="10" t="s">
        <v>19</v>
      </c>
    </row>
    <row r="10" spans="2:13" ht="27" customHeight="1" x14ac:dyDescent="0.3">
      <c r="B10" s="6"/>
      <c r="C10" s="41"/>
      <c r="D10" s="6"/>
      <c r="F10" s="17" t="s">
        <v>20</v>
      </c>
      <c r="G10" s="32"/>
      <c r="H10" s="32"/>
      <c r="I10" s="32"/>
      <c r="J10" s="32" t="str">
        <f>IFERROR(C16/SUM(Calculations!E24:H24,Calculations!N24),"-")</f>
        <v>-</v>
      </c>
      <c r="K10" s="10" t="s">
        <v>21</v>
      </c>
    </row>
    <row r="11" spans="2:13" ht="27" customHeight="1" x14ac:dyDescent="0.3">
      <c r="B11" s="22" t="s">
        <v>22</v>
      </c>
      <c r="C11" s="41"/>
      <c r="D11" s="6"/>
      <c r="F11" s="19"/>
      <c r="K11" s="20"/>
    </row>
    <row r="12" spans="2:13" s="27" customFormat="1" ht="54" x14ac:dyDescent="0.3">
      <c r="B12" s="25" t="s">
        <v>23</v>
      </c>
      <c r="C12" s="42"/>
      <c r="D12" s="26"/>
      <c r="F12" s="9" t="s">
        <v>24</v>
      </c>
      <c r="G12"/>
      <c r="H12"/>
      <c r="I12"/>
      <c r="J12"/>
      <c r="K12" s="20"/>
    </row>
    <row r="13" spans="2:13" s="27" customFormat="1" ht="110" customHeight="1" x14ac:dyDescent="0.3">
      <c r="B13" s="24" t="s">
        <v>25</v>
      </c>
      <c r="C13" s="40"/>
      <c r="D13" s="30"/>
      <c r="F13" s="17" t="s">
        <v>18</v>
      </c>
      <c r="G13" s="18">
        <f>Calculations!K23+NPV(Calculations!B12,Calculations!K24:K53)</f>
        <v>0</v>
      </c>
      <c r="H13" s="18">
        <f>Calculations!K23+NPV(Calculations!B13+Calculations!B15,Calculations!K24:K53)</f>
        <v>0</v>
      </c>
      <c r="I13" s="18">
        <f>Calculations!K23+NPV(Calculations!B14+Calculations!B15,Calculations!K24:K53)</f>
        <v>0</v>
      </c>
      <c r="J13" s="18"/>
      <c r="K13" s="10" t="s">
        <v>19</v>
      </c>
    </row>
    <row r="14" spans="2:13" ht="27" customHeight="1" x14ac:dyDescent="0.3">
      <c r="B14" s="6"/>
      <c r="C14" s="41"/>
      <c r="D14" s="6"/>
      <c r="F14" s="21" t="s">
        <v>20</v>
      </c>
      <c r="G14" s="33"/>
      <c r="H14" s="33"/>
      <c r="I14" s="33"/>
      <c r="J14" s="33" t="str">
        <f>IFERROR(C16/SUM(Calculations!E24:H24),"-")</f>
        <v>-</v>
      </c>
      <c r="K14" s="13" t="s">
        <v>21</v>
      </c>
    </row>
    <row r="15" spans="2:13" ht="27" customHeight="1" thickBot="1" x14ac:dyDescent="0.35">
      <c r="B15" s="22" t="s">
        <v>26</v>
      </c>
      <c r="C15" s="41"/>
    </row>
    <row r="16" spans="2:13" ht="50" customHeight="1" x14ac:dyDescent="0.3">
      <c r="B16" s="7" t="s">
        <v>27</v>
      </c>
      <c r="C16" s="38">
        <v>0</v>
      </c>
      <c r="D16" s="37" t="s">
        <v>28</v>
      </c>
      <c r="E16" s="6"/>
      <c r="F16" s="6"/>
      <c r="G16" s="6"/>
      <c r="H16" s="6"/>
      <c r="I16" s="6"/>
      <c r="J16" s="6"/>
      <c r="K16" s="6"/>
      <c r="L16" s="6"/>
      <c r="M16" s="6"/>
    </row>
    <row r="17" spans="2:13" ht="26" x14ac:dyDescent="0.3">
      <c r="B17" s="9" t="s">
        <v>29</v>
      </c>
      <c r="C17" s="43">
        <v>0</v>
      </c>
      <c r="D17" s="10" t="s">
        <v>30</v>
      </c>
      <c r="E17" s="6"/>
      <c r="F17" s="6"/>
      <c r="G17" s="36"/>
      <c r="H17" s="36"/>
      <c r="I17" s="36"/>
      <c r="J17" s="6"/>
      <c r="K17" s="6"/>
      <c r="L17" s="6"/>
      <c r="M17" s="6"/>
    </row>
    <row r="18" spans="2:13" ht="26" x14ac:dyDescent="0.3">
      <c r="B18" s="9" t="s">
        <v>31</v>
      </c>
      <c r="C18" s="43">
        <v>0</v>
      </c>
      <c r="D18" s="10" t="s">
        <v>32</v>
      </c>
      <c r="E18" s="6"/>
      <c r="F18" s="6"/>
      <c r="G18" s="6"/>
      <c r="H18" s="6"/>
      <c r="I18" s="6"/>
      <c r="J18" s="6"/>
      <c r="K18" s="6"/>
      <c r="L18" s="6"/>
      <c r="M18" s="6"/>
    </row>
    <row r="19" spans="2:13" ht="26" x14ac:dyDescent="0.3">
      <c r="B19" s="9" t="s">
        <v>33</v>
      </c>
      <c r="C19" s="43">
        <v>0</v>
      </c>
      <c r="D19" s="10" t="s">
        <v>34</v>
      </c>
      <c r="E19" s="6"/>
      <c r="F19" s="6"/>
      <c r="G19" s="6"/>
      <c r="H19" s="6"/>
      <c r="I19" s="6"/>
      <c r="J19" s="6"/>
      <c r="K19" s="6"/>
      <c r="L19" s="6"/>
      <c r="M19" s="6"/>
    </row>
    <row r="20" spans="2:13" ht="26" x14ac:dyDescent="0.3">
      <c r="B20" s="9"/>
      <c r="C20" s="44"/>
      <c r="D20" s="10"/>
      <c r="E20" s="6"/>
      <c r="F20" s="6"/>
      <c r="G20" s="6"/>
      <c r="H20" s="6"/>
      <c r="I20" s="6"/>
      <c r="J20" s="6"/>
      <c r="K20" s="6"/>
      <c r="L20" s="6"/>
      <c r="M20" s="6"/>
    </row>
    <row r="21" spans="2:13" ht="26" x14ac:dyDescent="0.3">
      <c r="B21" s="9" t="s">
        <v>35</v>
      </c>
      <c r="C21" s="44"/>
      <c r="D21" s="10"/>
      <c r="E21" s="6"/>
      <c r="F21" s="6"/>
      <c r="G21" s="6"/>
      <c r="H21" s="6"/>
      <c r="I21" s="6"/>
      <c r="J21" s="6"/>
      <c r="K21" s="6"/>
      <c r="L21" s="6"/>
      <c r="M21" s="6"/>
    </row>
    <row r="22" spans="2:13" ht="54" customHeight="1" x14ac:dyDescent="0.3">
      <c r="B22" s="11" t="s">
        <v>36</v>
      </c>
      <c r="C22" s="43"/>
      <c r="D22" s="10" t="s">
        <v>37</v>
      </c>
      <c r="E22" s="6"/>
      <c r="F22" s="6"/>
      <c r="G22" s="6"/>
      <c r="H22" s="6"/>
      <c r="I22" s="6"/>
      <c r="J22" s="6"/>
      <c r="K22" s="6"/>
      <c r="L22" s="6"/>
      <c r="M22" s="6"/>
    </row>
    <row r="23" spans="2:13" ht="26" x14ac:dyDescent="0.3">
      <c r="B23" s="9" t="s">
        <v>38</v>
      </c>
      <c r="C23" s="43"/>
      <c r="D23" s="10" t="s">
        <v>39</v>
      </c>
      <c r="E23" s="6"/>
      <c r="F23" s="6"/>
      <c r="G23" s="6"/>
      <c r="H23" s="6"/>
      <c r="I23" s="6"/>
      <c r="J23" s="6"/>
      <c r="K23" s="6"/>
      <c r="L23" s="6"/>
      <c r="M23" s="6"/>
    </row>
    <row r="24" spans="2:13" ht="26" x14ac:dyDescent="0.3">
      <c r="B24" s="9" t="s">
        <v>40</v>
      </c>
      <c r="C24" s="43"/>
      <c r="D24" s="10" t="s">
        <v>41</v>
      </c>
      <c r="E24" s="6"/>
      <c r="F24" s="6"/>
      <c r="G24" s="6"/>
      <c r="H24" s="6"/>
      <c r="I24" s="6"/>
      <c r="J24" s="6"/>
      <c r="K24" s="6"/>
      <c r="L24" s="6"/>
      <c r="M24" s="6"/>
    </row>
    <row r="25" spans="2:13" ht="27" thickBot="1" x14ac:dyDescent="0.35">
      <c r="B25" s="12" t="s">
        <v>42</v>
      </c>
      <c r="C25" s="45"/>
      <c r="D25" s="13" t="s">
        <v>41</v>
      </c>
      <c r="E25" s="6"/>
      <c r="F25" s="6"/>
      <c r="G25" s="6"/>
      <c r="H25" s="6"/>
      <c r="I25" s="6"/>
      <c r="J25" s="6"/>
      <c r="K25" s="6"/>
      <c r="L25" s="6"/>
      <c r="M25" s="6"/>
    </row>
    <row r="26" spans="2:13" ht="26" x14ac:dyDescent="0.3">
      <c r="B26" s="6"/>
      <c r="C26" s="6"/>
      <c r="D26" s="6"/>
      <c r="E26" s="6"/>
      <c r="F26" s="6"/>
      <c r="G26" s="6"/>
      <c r="H26" s="6"/>
      <c r="I26" s="6"/>
      <c r="J26" s="6"/>
      <c r="K26" s="6"/>
      <c r="L26" s="6"/>
      <c r="M26" s="6"/>
    </row>
    <row r="27" spans="2:13" ht="26" x14ac:dyDescent="0.3">
      <c r="E27" s="6"/>
      <c r="F27" s="6"/>
      <c r="G27" s="6"/>
      <c r="H27" s="6"/>
      <c r="I27" s="6"/>
      <c r="J27" s="6"/>
      <c r="K27" s="6"/>
      <c r="L27" s="6"/>
      <c r="M27" s="6"/>
    </row>
    <row r="28" spans="2:13" ht="26" x14ac:dyDescent="0.3">
      <c r="E28" s="6"/>
      <c r="F28" s="6"/>
      <c r="G28" s="6"/>
      <c r="H28" s="6"/>
      <c r="I28" s="6"/>
      <c r="J28" s="6"/>
      <c r="K28" s="6"/>
      <c r="L28" s="6"/>
      <c r="M28" s="6"/>
    </row>
    <row r="29" spans="2:13" ht="26" x14ac:dyDescent="0.3">
      <c r="H29" s="6"/>
      <c r="I29" s="6"/>
      <c r="J29" s="6"/>
      <c r="K29" s="6"/>
      <c r="L29" s="6"/>
      <c r="M29" s="6"/>
    </row>
  </sheetData>
  <sheetProtection algorithmName="SHA-512" hashValue="TBM6apUdvRSnmliBbW+Xq4s9s54yx9+vOFN3HZOjyJZdndOkCOmHd61P3YN4OaMHV5dI7ZYvC0JpGI9uNoEcYg==" saltValue="nMxueH9eoofg8m9xi9lAKA==" spinCount="100000" sheet="1" objects="1" scenarios="1"/>
  <mergeCells count="1">
    <mergeCell ref="G5:I5"/>
  </mergeCells>
  <dataValidations count="2">
    <dataValidation type="whole" allowBlank="1" showInputMessage="1" showErrorMessage="1" sqref="C25" xr:uid="{58D428CA-5F76-7C45-AAD9-824BC94FB96A}">
      <formula1>20</formula1>
      <formula2>29</formula2>
    </dataValidation>
    <dataValidation type="whole" allowBlank="1" showInputMessage="1" showErrorMessage="1" sqref="C24" xr:uid="{507058AB-7630-544F-81F0-0636289C4EB0}">
      <formula1>10</formula1>
      <formula2>29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E6A04-9DA1-6D43-873C-8E951CE0C10A}">
  <dimension ref="A1:S57"/>
  <sheetViews>
    <sheetView tabSelected="1" zoomScale="120" zoomScaleNormal="120" workbookViewId="0">
      <selection activeCell="B23" sqref="B23"/>
    </sheetView>
  </sheetViews>
  <sheetFormatPr baseColWidth="10" defaultColWidth="11" defaultRowHeight="16" x14ac:dyDescent="0.2"/>
  <cols>
    <col min="1" max="1" width="32.6640625" customWidth="1"/>
    <col min="3" max="3" width="14" customWidth="1"/>
    <col min="4" max="4" width="29" customWidth="1"/>
  </cols>
  <sheetData>
    <row r="1" spans="1:5" x14ac:dyDescent="0.2">
      <c r="B1" t="s">
        <v>43</v>
      </c>
      <c r="C1" t="s">
        <v>44</v>
      </c>
      <c r="D1" t="s">
        <v>45</v>
      </c>
      <c r="E1" t="s">
        <v>46</v>
      </c>
    </row>
    <row r="2" spans="1:5" x14ac:dyDescent="0.2">
      <c r="A2" t="s">
        <v>47</v>
      </c>
      <c r="B2">
        <v>0.13719999999999999</v>
      </c>
      <c r="C2" t="s">
        <v>48</v>
      </c>
      <c r="D2" t="s">
        <v>49</v>
      </c>
      <c r="E2" t="s">
        <v>50</v>
      </c>
    </row>
    <row r="3" spans="1:5" x14ac:dyDescent="0.2">
      <c r="A3" t="s">
        <v>51</v>
      </c>
      <c r="B3" s="14">
        <f>12.24/10.37</f>
        <v>1.1803278688524592</v>
      </c>
      <c r="C3" t="s">
        <v>52</v>
      </c>
      <c r="D3" t="s">
        <v>53</v>
      </c>
      <c r="E3" t="s">
        <v>54</v>
      </c>
    </row>
    <row r="4" spans="1:5" x14ac:dyDescent="0.2">
      <c r="A4" t="s">
        <v>55</v>
      </c>
      <c r="B4">
        <v>2.48</v>
      </c>
      <c r="C4" t="s">
        <v>56</v>
      </c>
      <c r="D4" t="s">
        <v>57</v>
      </c>
      <c r="E4" t="s">
        <v>58</v>
      </c>
    </row>
    <row r="5" spans="1:5" x14ac:dyDescent="0.2">
      <c r="A5" t="s">
        <v>59</v>
      </c>
      <c r="B5" s="1">
        <v>-1E-3</v>
      </c>
      <c r="C5" t="s">
        <v>60</v>
      </c>
      <c r="D5" t="s">
        <v>61</v>
      </c>
      <c r="E5" s="34" t="s">
        <v>62</v>
      </c>
    </row>
    <row r="6" spans="1:5" x14ac:dyDescent="0.2">
      <c r="A6" t="s">
        <v>63</v>
      </c>
      <c r="B6" s="1">
        <v>5.0000000000000001E-3</v>
      </c>
      <c r="C6" t="s">
        <v>60</v>
      </c>
      <c r="D6" t="s">
        <v>61</v>
      </c>
      <c r="E6" t="s">
        <v>62</v>
      </c>
    </row>
    <row r="7" spans="1:5" x14ac:dyDescent="0.2">
      <c r="A7" t="s">
        <v>64</v>
      </c>
      <c r="B7" s="1">
        <v>1.4E-2</v>
      </c>
      <c r="C7" t="s">
        <v>60</v>
      </c>
      <c r="D7" t="s">
        <v>61</v>
      </c>
      <c r="E7" t="s">
        <v>62</v>
      </c>
    </row>
    <row r="8" spans="1:5" x14ac:dyDescent="0.2">
      <c r="A8" t="s">
        <v>65</v>
      </c>
      <c r="B8">
        <v>30</v>
      </c>
      <c r="C8" t="s">
        <v>21</v>
      </c>
      <c r="D8" t="s">
        <v>66</v>
      </c>
      <c r="E8" t="s">
        <v>67</v>
      </c>
    </row>
    <row r="9" spans="1:5" x14ac:dyDescent="0.2">
      <c r="A9" t="s">
        <v>68</v>
      </c>
      <c r="B9" s="1">
        <v>3.8399999999999997E-2</v>
      </c>
      <c r="C9" t="s">
        <v>69</v>
      </c>
      <c r="D9" t="s">
        <v>116</v>
      </c>
      <c r="E9" t="s">
        <v>117</v>
      </c>
    </row>
    <row r="10" spans="1:5" x14ac:dyDescent="0.2">
      <c r="A10" t="s">
        <v>70</v>
      </c>
      <c r="B10" s="1">
        <v>0.01</v>
      </c>
      <c r="C10" t="s">
        <v>60</v>
      </c>
      <c r="D10" t="s">
        <v>66</v>
      </c>
      <c r="E10" t="s">
        <v>67</v>
      </c>
    </row>
    <row r="11" spans="1:5" x14ac:dyDescent="0.2">
      <c r="A11" t="s">
        <v>71</v>
      </c>
      <c r="B11" s="2">
        <v>0.12</v>
      </c>
      <c r="C11" t="s">
        <v>60</v>
      </c>
      <c r="D11" t="s">
        <v>66</v>
      </c>
      <c r="E11" t="s">
        <v>67</v>
      </c>
    </row>
    <row r="12" spans="1:5" x14ac:dyDescent="0.2">
      <c r="A12" t="s">
        <v>72</v>
      </c>
      <c r="B12" s="1">
        <f>B9</f>
        <v>3.8399999999999997E-2</v>
      </c>
      <c r="C12" t="s">
        <v>69</v>
      </c>
      <c r="D12" t="s">
        <v>73</v>
      </c>
      <c r="E12" t="s">
        <v>67</v>
      </c>
    </row>
    <row r="13" spans="1:5" x14ac:dyDescent="0.2">
      <c r="A13" t="s">
        <v>74</v>
      </c>
      <c r="B13" s="1">
        <v>0.03</v>
      </c>
      <c r="C13" t="s">
        <v>75</v>
      </c>
      <c r="D13" t="s">
        <v>76</v>
      </c>
      <c r="E13" t="s">
        <v>77</v>
      </c>
    </row>
    <row r="14" spans="1:5" x14ac:dyDescent="0.2">
      <c r="A14" t="s">
        <v>78</v>
      </c>
      <c r="B14" s="1">
        <v>7.0000000000000007E-2</v>
      </c>
      <c r="C14" t="s">
        <v>75</v>
      </c>
      <c r="D14" t="s">
        <v>76</v>
      </c>
      <c r="E14" t="s">
        <v>77</v>
      </c>
    </row>
    <row r="15" spans="1:5" x14ac:dyDescent="0.2">
      <c r="A15" t="s">
        <v>79</v>
      </c>
      <c r="B15" s="1">
        <v>2.3E-2</v>
      </c>
      <c r="C15" t="s">
        <v>60</v>
      </c>
      <c r="D15" t="s">
        <v>80</v>
      </c>
      <c r="E15" t="s">
        <v>81</v>
      </c>
    </row>
    <row r="16" spans="1:5" x14ac:dyDescent="0.2">
      <c r="A16" t="s">
        <v>82</v>
      </c>
      <c r="B16" s="4">
        <v>853</v>
      </c>
      <c r="C16" t="s">
        <v>83</v>
      </c>
      <c r="D16" t="s">
        <v>84</v>
      </c>
      <c r="E16" t="s">
        <v>85</v>
      </c>
    </row>
    <row r="17" spans="1:19" x14ac:dyDescent="0.2">
      <c r="A17" t="s">
        <v>86</v>
      </c>
      <c r="B17" s="4">
        <v>52.91</v>
      </c>
      <c r="C17" t="s">
        <v>87</v>
      </c>
      <c r="D17" t="s">
        <v>84</v>
      </c>
      <c r="E17" t="s">
        <v>88</v>
      </c>
    </row>
    <row r="18" spans="1:19" x14ac:dyDescent="0.2">
      <c r="A18" t="s">
        <v>89</v>
      </c>
      <c r="B18" s="4">
        <v>5.72</v>
      </c>
      <c r="C18" t="s">
        <v>90</v>
      </c>
      <c r="D18" t="s">
        <v>84</v>
      </c>
      <c r="E18" t="s">
        <v>88</v>
      </c>
    </row>
    <row r="19" spans="1:19" x14ac:dyDescent="0.2">
      <c r="A19" t="s">
        <v>91</v>
      </c>
      <c r="B19" t="s">
        <v>92</v>
      </c>
      <c r="C19" t="s">
        <v>93</v>
      </c>
      <c r="D19" t="s">
        <v>94</v>
      </c>
      <c r="E19" t="s">
        <v>95</v>
      </c>
    </row>
    <row r="20" spans="1:19" x14ac:dyDescent="0.2">
      <c r="A20" t="s">
        <v>96</v>
      </c>
      <c r="B20" s="2">
        <v>0.03</v>
      </c>
      <c r="C20" t="s">
        <v>75</v>
      </c>
      <c r="D20" t="s">
        <v>94</v>
      </c>
      <c r="E20" t="s">
        <v>95</v>
      </c>
    </row>
    <row r="21" spans="1:19" x14ac:dyDescent="0.2">
      <c r="K21" t="s">
        <v>97</v>
      </c>
      <c r="N21" t="s">
        <v>98</v>
      </c>
      <c r="O21" t="s">
        <v>99</v>
      </c>
      <c r="Q21" t="s">
        <v>100</v>
      </c>
      <c r="R21" t="s">
        <v>101</v>
      </c>
      <c r="S21" t="s">
        <v>102</v>
      </c>
    </row>
    <row r="22" spans="1:19" x14ac:dyDescent="0.2">
      <c r="B22" t="s">
        <v>103</v>
      </c>
      <c r="C22" t="s">
        <v>104</v>
      </c>
      <c r="D22" t="s">
        <v>105</v>
      </c>
      <c r="E22" t="s">
        <v>106</v>
      </c>
      <c r="F22" t="s">
        <v>107</v>
      </c>
      <c r="G22" t="s">
        <v>108</v>
      </c>
      <c r="H22" t="s">
        <v>109</v>
      </c>
      <c r="I22" t="s">
        <v>110</v>
      </c>
      <c r="J22" t="s">
        <v>111</v>
      </c>
      <c r="K22" t="s">
        <v>112</v>
      </c>
      <c r="N22" t="s">
        <v>113</v>
      </c>
      <c r="O22" t="s">
        <v>114</v>
      </c>
      <c r="Q22" t="s">
        <v>115</v>
      </c>
      <c r="R22" t="s">
        <v>115</v>
      </c>
      <c r="S22" t="s">
        <v>115</v>
      </c>
    </row>
    <row r="23" spans="1:19" x14ac:dyDescent="0.2">
      <c r="A23">
        <v>2020</v>
      </c>
      <c r="B23" s="5">
        <f>-B11*'Inputs&amp;Results'!C16</f>
        <v>0</v>
      </c>
      <c r="C23" s="5">
        <f>-B10*'Inputs&amp;Results'!C16</f>
        <v>0</v>
      </c>
      <c r="K23" s="5">
        <f t="shared" ref="K23:K53" si="0">SUM(B23:J23)</f>
        <v>0</v>
      </c>
      <c r="N23" s="5"/>
      <c r="O23" s="4">
        <v>51</v>
      </c>
      <c r="P23" s="4"/>
    </row>
    <row r="24" spans="1:19" x14ac:dyDescent="0.2">
      <c r="A24">
        <v>2021</v>
      </c>
      <c r="D24" s="3">
        <f>PMT(B9,30,(1-B11)*'Inputs&amp;Results'!C16)</f>
        <v>0</v>
      </c>
      <c r="E24" s="5">
        <f>B2*'Inputs&amp;Results'!C17</f>
        <v>0</v>
      </c>
      <c r="F24" s="5">
        <f>B3*'Inputs&amp;Results'!C18</f>
        <v>0</v>
      </c>
      <c r="G24" s="5">
        <f>B4*'Inputs&amp;Results'!C19</f>
        <v>0</v>
      </c>
      <c r="H24" s="5">
        <f>-'Inputs&amp;Results'!C22</f>
        <v>0</v>
      </c>
      <c r="I24" s="5">
        <f>IF('Inputs&amp;Results'!$C$24=(A24-2020),(-'Inputs&amp;Results'!$C$23*(1+$B$15)^(A24-2021)),0)+IF('Inputs&amp;Results'!$C$25=(A24-2020),(-'Inputs&amp;Results'!$C$23*(1+$B$15)^(A24-2021)),0)</f>
        <v>0</v>
      </c>
      <c r="J24" s="5"/>
      <c r="K24" s="5">
        <f t="shared" si="0"/>
        <v>0</v>
      </c>
      <c r="N24" s="5">
        <f t="shared" ref="N24:N53" si="1">O24*(Q24+R24+S24)</f>
        <v>0</v>
      </c>
      <c r="O24" s="4">
        <f>O23+(O28-O23)/5</f>
        <v>52</v>
      </c>
      <c r="P24" s="4"/>
      <c r="Q24">
        <f>'Inputs&amp;Results'!C17*B16/1000/2204.62</f>
        <v>0</v>
      </c>
      <c r="R24">
        <f>'Inputs&amp;Results'!C18*B17/1000/10</f>
        <v>0</v>
      </c>
      <c r="S24">
        <f>'Inputs&amp;Results'!C19*B18/1000</f>
        <v>0</v>
      </c>
    </row>
    <row r="25" spans="1:19" x14ac:dyDescent="0.2">
      <c r="A25">
        <v>2022</v>
      </c>
      <c r="B25" s="5"/>
      <c r="C25" s="5"/>
      <c r="D25" s="3">
        <f>D24</f>
        <v>0</v>
      </c>
      <c r="E25" s="5">
        <f t="shared" ref="E25:E53" si="2">E24*(1+$B$5)*(1+$B$15)</f>
        <v>0</v>
      </c>
      <c r="F25" s="5">
        <f t="shared" ref="F25:F53" si="3">F24*(1+$B$6)*(1+$B$15)</f>
        <v>0</v>
      </c>
      <c r="G25" s="5">
        <f t="shared" ref="G25:G53" si="4">G24*(1+$B$7)*(1+$B$15)</f>
        <v>0</v>
      </c>
      <c r="H25" s="5">
        <f>H24*(1+$B$15)</f>
        <v>0</v>
      </c>
      <c r="I25" s="5">
        <f>IF('Inputs&amp;Results'!$C$24=(A25-2020),(-'Inputs&amp;Results'!$C$23*(1+$B$15)^(A25-2021)),0)+IF('Inputs&amp;Results'!$C$25=(A25-2020),(-'Inputs&amp;Results'!$C$23*(1+$B$15)^(A25-2021)),0)</f>
        <v>0</v>
      </c>
      <c r="J25" s="5"/>
      <c r="K25" s="5">
        <f t="shared" si="0"/>
        <v>0</v>
      </c>
      <c r="N25" s="5">
        <f t="shared" si="1"/>
        <v>0</v>
      </c>
      <c r="O25" s="4">
        <f>O24+(O28-O23)/5</f>
        <v>53</v>
      </c>
      <c r="P25" s="4"/>
      <c r="Q25">
        <f>Q24</f>
        <v>0</v>
      </c>
      <c r="R25">
        <f>R24</f>
        <v>0</v>
      </c>
      <c r="S25">
        <f>S24</f>
        <v>0</v>
      </c>
    </row>
    <row r="26" spans="1:19" x14ac:dyDescent="0.2">
      <c r="A26">
        <v>2023</v>
      </c>
      <c r="B26" s="5"/>
      <c r="C26" s="5"/>
      <c r="D26" s="3">
        <f t="shared" ref="D26:D53" si="5">D25</f>
        <v>0</v>
      </c>
      <c r="E26" s="5">
        <f t="shared" si="2"/>
        <v>0</v>
      </c>
      <c r="F26" s="5">
        <f t="shared" si="3"/>
        <v>0</v>
      </c>
      <c r="G26" s="5">
        <f t="shared" si="4"/>
        <v>0</v>
      </c>
      <c r="H26" s="5">
        <f t="shared" ref="H26:H53" si="6">H25*(1+$B$15)</f>
        <v>0</v>
      </c>
      <c r="I26" s="5">
        <f>IF('Inputs&amp;Results'!$C$24=(A26-2020),(-'Inputs&amp;Results'!$C$23*(1+$B$15)^(A26-2021)),0)+IF('Inputs&amp;Results'!$C$25=(A26-2020),(-'Inputs&amp;Results'!$C$23*(1+$B$15)^(A26-2021)),0)</f>
        <v>0</v>
      </c>
      <c r="J26" s="5"/>
      <c r="K26" s="5">
        <f t="shared" si="0"/>
        <v>0</v>
      </c>
      <c r="N26" s="5">
        <f t="shared" si="1"/>
        <v>0</v>
      </c>
      <c r="O26" s="4">
        <f>O25+(O28-O23)/5</f>
        <v>54</v>
      </c>
      <c r="P26" s="4"/>
      <c r="Q26">
        <f t="shared" ref="Q26:Q53" si="7">Q25</f>
        <v>0</v>
      </c>
      <c r="R26">
        <f t="shared" ref="R26:R53" si="8">R25</f>
        <v>0</v>
      </c>
      <c r="S26">
        <f t="shared" ref="S26:S53" si="9">S25</f>
        <v>0</v>
      </c>
    </row>
    <row r="27" spans="1:19" x14ac:dyDescent="0.2">
      <c r="A27">
        <v>2024</v>
      </c>
      <c r="B27" s="5"/>
      <c r="C27" s="5"/>
      <c r="D27" s="3">
        <f t="shared" si="5"/>
        <v>0</v>
      </c>
      <c r="E27" s="5">
        <f t="shared" si="2"/>
        <v>0</v>
      </c>
      <c r="F27" s="5">
        <f t="shared" si="3"/>
        <v>0</v>
      </c>
      <c r="G27" s="5">
        <f t="shared" si="4"/>
        <v>0</v>
      </c>
      <c r="H27" s="5">
        <f t="shared" si="6"/>
        <v>0</v>
      </c>
      <c r="I27" s="5">
        <f>IF('Inputs&amp;Results'!$C$24=(A27-2020),(-'Inputs&amp;Results'!$C$23*(1+$B$15)^(A27-2021)),0)+IF('Inputs&amp;Results'!$C$25=(A27-2020),(-'Inputs&amp;Results'!$C$23*(1+$B$15)^(A27-2021)),0)</f>
        <v>0</v>
      </c>
      <c r="J27" s="5"/>
      <c r="K27" s="5">
        <f t="shared" si="0"/>
        <v>0</v>
      </c>
      <c r="N27" s="5">
        <f t="shared" si="1"/>
        <v>0</v>
      </c>
      <c r="O27" s="4">
        <f>O26+(O28-O23)/5</f>
        <v>55</v>
      </c>
      <c r="P27" s="4"/>
      <c r="Q27">
        <f t="shared" si="7"/>
        <v>0</v>
      </c>
      <c r="R27">
        <f t="shared" si="8"/>
        <v>0</v>
      </c>
      <c r="S27">
        <f t="shared" si="9"/>
        <v>0</v>
      </c>
    </row>
    <row r="28" spans="1:19" x14ac:dyDescent="0.2">
      <c r="A28">
        <v>2025</v>
      </c>
      <c r="B28" s="5"/>
      <c r="C28" s="5"/>
      <c r="D28" s="3">
        <f t="shared" si="5"/>
        <v>0</v>
      </c>
      <c r="E28" s="5">
        <f t="shared" si="2"/>
        <v>0</v>
      </c>
      <c r="F28" s="5">
        <f t="shared" si="3"/>
        <v>0</v>
      </c>
      <c r="G28" s="5">
        <f t="shared" si="4"/>
        <v>0</v>
      </c>
      <c r="H28" s="5">
        <f t="shared" si="6"/>
        <v>0</v>
      </c>
      <c r="I28" s="5">
        <f>IF('Inputs&amp;Results'!$C$24=(A28-2020),(-'Inputs&amp;Results'!$C$23*(1+$B$15)^(A28-2021)),0)+IF('Inputs&amp;Results'!$C$25=(A28-2020),(-'Inputs&amp;Results'!$C$23*(1+$B$15)^(A28-2021)),0)</f>
        <v>0</v>
      </c>
      <c r="J28" s="5"/>
      <c r="K28" s="5">
        <f t="shared" si="0"/>
        <v>0</v>
      </c>
      <c r="N28" s="5">
        <f t="shared" si="1"/>
        <v>0</v>
      </c>
      <c r="O28" s="4">
        <v>56</v>
      </c>
      <c r="P28" s="4"/>
      <c r="Q28">
        <f t="shared" si="7"/>
        <v>0</v>
      </c>
      <c r="R28">
        <f t="shared" si="8"/>
        <v>0</v>
      </c>
      <c r="S28">
        <f t="shared" si="9"/>
        <v>0</v>
      </c>
    </row>
    <row r="29" spans="1:19" x14ac:dyDescent="0.2">
      <c r="A29">
        <v>2026</v>
      </c>
      <c r="B29" s="5"/>
      <c r="C29" s="5"/>
      <c r="D29" s="3">
        <f t="shared" si="5"/>
        <v>0</v>
      </c>
      <c r="E29" s="5">
        <f t="shared" si="2"/>
        <v>0</v>
      </c>
      <c r="F29" s="5">
        <f t="shared" si="3"/>
        <v>0</v>
      </c>
      <c r="G29" s="5">
        <f t="shared" si="4"/>
        <v>0</v>
      </c>
      <c r="H29" s="5">
        <f t="shared" si="6"/>
        <v>0</v>
      </c>
      <c r="I29" s="5">
        <f>IF('Inputs&amp;Results'!$C$24=(A29-2020),(-'Inputs&amp;Results'!$C$23*(1+$B$15)^(A29-2021)),0)+IF('Inputs&amp;Results'!$C$25=(A29-2020),(-'Inputs&amp;Results'!$C$23*(1+$B$15)^(A29-2021)),0)</f>
        <v>0</v>
      </c>
      <c r="J29" s="5"/>
      <c r="K29" s="5">
        <f t="shared" si="0"/>
        <v>0</v>
      </c>
      <c r="N29" s="5">
        <f t="shared" si="1"/>
        <v>0</v>
      </c>
      <c r="O29" s="4">
        <f>O28+(O33-O28)/5</f>
        <v>57.2</v>
      </c>
      <c r="P29" s="4"/>
      <c r="Q29">
        <f t="shared" si="7"/>
        <v>0</v>
      </c>
      <c r="R29">
        <f t="shared" si="8"/>
        <v>0</v>
      </c>
      <c r="S29">
        <f t="shared" si="9"/>
        <v>0</v>
      </c>
    </row>
    <row r="30" spans="1:19" x14ac:dyDescent="0.2">
      <c r="A30">
        <v>2027</v>
      </c>
      <c r="B30" s="5"/>
      <c r="C30" s="5"/>
      <c r="D30" s="3">
        <f t="shared" si="5"/>
        <v>0</v>
      </c>
      <c r="E30" s="5">
        <f t="shared" si="2"/>
        <v>0</v>
      </c>
      <c r="F30" s="5">
        <f t="shared" si="3"/>
        <v>0</v>
      </c>
      <c r="G30" s="5">
        <f t="shared" si="4"/>
        <v>0</v>
      </c>
      <c r="H30" s="5">
        <f t="shared" si="6"/>
        <v>0</v>
      </c>
      <c r="I30" s="5">
        <f>IF('Inputs&amp;Results'!$C$24=(A30-2020),(-'Inputs&amp;Results'!$C$23*(1+$B$15)^(A30-2021)),0)+IF('Inputs&amp;Results'!$C$25=(A30-2020),(-'Inputs&amp;Results'!$C$23*(1+$B$15)^(A30-2021)),0)</f>
        <v>0</v>
      </c>
      <c r="J30" s="5"/>
      <c r="K30" s="5">
        <f t="shared" si="0"/>
        <v>0</v>
      </c>
      <c r="N30" s="5">
        <f t="shared" si="1"/>
        <v>0</v>
      </c>
      <c r="O30" s="4">
        <f>O29+(O33-O28)/5</f>
        <v>58.400000000000006</v>
      </c>
      <c r="P30" s="4"/>
      <c r="Q30">
        <f t="shared" si="7"/>
        <v>0</v>
      </c>
      <c r="R30">
        <f t="shared" si="8"/>
        <v>0</v>
      </c>
      <c r="S30">
        <f t="shared" si="9"/>
        <v>0</v>
      </c>
    </row>
    <row r="31" spans="1:19" x14ac:dyDescent="0.2">
      <c r="A31">
        <v>2028</v>
      </c>
      <c r="B31" s="5"/>
      <c r="C31" s="5"/>
      <c r="D31" s="3">
        <f t="shared" si="5"/>
        <v>0</v>
      </c>
      <c r="E31" s="5">
        <f t="shared" si="2"/>
        <v>0</v>
      </c>
      <c r="F31" s="5">
        <f t="shared" si="3"/>
        <v>0</v>
      </c>
      <c r="G31" s="5">
        <f t="shared" si="4"/>
        <v>0</v>
      </c>
      <c r="H31" s="5">
        <f t="shared" si="6"/>
        <v>0</v>
      </c>
      <c r="I31" s="5">
        <f>IF('Inputs&amp;Results'!$C$24=(A31-2020),(-'Inputs&amp;Results'!$C$23*(1+$B$15)^(A31-2021)),0)+IF('Inputs&amp;Results'!$C$25=(A31-2020),(-'Inputs&amp;Results'!$C$23*(1+$B$15)^(A31-2021)),0)</f>
        <v>0</v>
      </c>
      <c r="J31" s="5"/>
      <c r="K31" s="5">
        <f t="shared" si="0"/>
        <v>0</v>
      </c>
      <c r="N31" s="5">
        <f t="shared" si="1"/>
        <v>0</v>
      </c>
      <c r="O31" s="4">
        <f>O30+(O33-O28)/5</f>
        <v>59.600000000000009</v>
      </c>
      <c r="P31" s="4"/>
      <c r="Q31">
        <f t="shared" si="7"/>
        <v>0</v>
      </c>
      <c r="R31">
        <f t="shared" si="8"/>
        <v>0</v>
      </c>
      <c r="S31">
        <f t="shared" si="9"/>
        <v>0</v>
      </c>
    </row>
    <row r="32" spans="1:19" x14ac:dyDescent="0.2">
      <c r="A32">
        <v>2029</v>
      </c>
      <c r="B32" s="5"/>
      <c r="C32" s="5"/>
      <c r="D32" s="3">
        <f t="shared" si="5"/>
        <v>0</v>
      </c>
      <c r="E32" s="5">
        <f t="shared" si="2"/>
        <v>0</v>
      </c>
      <c r="F32" s="5">
        <f t="shared" si="3"/>
        <v>0</v>
      </c>
      <c r="G32" s="5">
        <f t="shared" si="4"/>
        <v>0</v>
      </c>
      <c r="H32" s="5">
        <f t="shared" si="6"/>
        <v>0</v>
      </c>
      <c r="I32" s="5">
        <f>IF('Inputs&amp;Results'!$C$24=(A32-2020),(-'Inputs&amp;Results'!$C$23*(1+$B$15)^(A32-2021)),0)+IF('Inputs&amp;Results'!$C$25=(A32-2020),(-'Inputs&amp;Results'!$C$23*(1+$B$15)^(A32-2021)),0)</f>
        <v>0</v>
      </c>
      <c r="J32" s="5"/>
      <c r="K32" s="5">
        <f t="shared" si="0"/>
        <v>0</v>
      </c>
      <c r="N32" s="5">
        <f t="shared" si="1"/>
        <v>0</v>
      </c>
      <c r="O32" s="4">
        <f>O31+(O33-O28)/5</f>
        <v>60.800000000000011</v>
      </c>
      <c r="P32" s="4"/>
      <c r="Q32">
        <f t="shared" si="7"/>
        <v>0</v>
      </c>
      <c r="R32">
        <f t="shared" si="8"/>
        <v>0</v>
      </c>
      <c r="S32">
        <f t="shared" si="9"/>
        <v>0</v>
      </c>
    </row>
    <row r="33" spans="1:19" x14ac:dyDescent="0.2">
      <c r="A33">
        <v>2030</v>
      </c>
      <c r="B33" s="5"/>
      <c r="C33" s="5"/>
      <c r="D33" s="3">
        <f t="shared" si="5"/>
        <v>0</v>
      </c>
      <c r="E33" s="5">
        <f t="shared" si="2"/>
        <v>0</v>
      </c>
      <c r="F33" s="5">
        <f t="shared" si="3"/>
        <v>0</v>
      </c>
      <c r="G33" s="5">
        <f t="shared" si="4"/>
        <v>0</v>
      </c>
      <c r="H33" s="5">
        <f t="shared" si="6"/>
        <v>0</v>
      </c>
      <c r="I33" s="5">
        <f>IF('Inputs&amp;Results'!$C$24=(A33-2020),(-'Inputs&amp;Results'!$C$23*(1+$B$15)^(A33-2021)),0)+IF('Inputs&amp;Results'!$C$25=(A33-2020),(-'Inputs&amp;Results'!$C$23*(1+$B$15)^(A33-2021)),0)</f>
        <v>0</v>
      </c>
      <c r="J33" s="5"/>
      <c r="K33" s="5">
        <f t="shared" si="0"/>
        <v>0</v>
      </c>
      <c r="N33" s="5">
        <f t="shared" si="1"/>
        <v>0</v>
      </c>
      <c r="O33" s="4">
        <v>62</v>
      </c>
      <c r="P33" s="4"/>
      <c r="Q33">
        <f t="shared" si="7"/>
        <v>0</v>
      </c>
      <c r="R33">
        <f t="shared" si="8"/>
        <v>0</v>
      </c>
      <c r="S33">
        <f t="shared" si="9"/>
        <v>0</v>
      </c>
    </row>
    <row r="34" spans="1:19" x14ac:dyDescent="0.2">
      <c r="A34">
        <v>2031</v>
      </c>
      <c r="B34" s="5"/>
      <c r="C34" s="5"/>
      <c r="D34" s="3">
        <f t="shared" si="5"/>
        <v>0</v>
      </c>
      <c r="E34" s="5">
        <f t="shared" si="2"/>
        <v>0</v>
      </c>
      <c r="F34" s="5">
        <f t="shared" si="3"/>
        <v>0</v>
      </c>
      <c r="G34" s="5">
        <f t="shared" si="4"/>
        <v>0</v>
      </c>
      <c r="H34" s="5">
        <f t="shared" si="6"/>
        <v>0</v>
      </c>
      <c r="I34" s="5">
        <f>IF('Inputs&amp;Results'!$C$24=(A34-2020),(-'Inputs&amp;Results'!$C$23*(1+$B$15)^(A34-2021)),0)+IF('Inputs&amp;Results'!$C$25=(A34-2020),(-'Inputs&amp;Results'!$C$23*(1+$B$15)^(A34-2021)),0)</f>
        <v>0</v>
      </c>
      <c r="J34" s="5"/>
      <c r="K34" s="5">
        <f t="shared" si="0"/>
        <v>0</v>
      </c>
      <c r="N34" s="5">
        <f t="shared" si="1"/>
        <v>0</v>
      </c>
      <c r="O34" s="4">
        <f>O33+(O38-O33)/5</f>
        <v>63</v>
      </c>
      <c r="P34" s="4"/>
      <c r="Q34">
        <f t="shared" si="7"/>
        <v>0</v>
      </c>
      <c r="R34">
        <f t="shared" si="8"/>
        <v>0</v>
      </c>
      <c r="S34">
        <f t="shared" si="9"/>
        <v>0</v>
      </c>
    </row>
    <row r="35" spans="1:19" x14ac:dyDescent="0.2">
      <c r="A35">
        <v>2032</v>
      </c>
      <c r="B35" s="5"/>
      <c r="C35" s="5"/>
      <c r="D35" s="3">
        <f t="shared" si="5"/>
        <v>0</v>
      </c>
      <c r="E35" s="5">
        <f t="shared" si="2"/>
        <v>0</v>
      </c>
      <c r="F35" s="5">
        <f t="shared" si="3"/>
        <v>0</v>
      </c>
      <c r="G35" s="5">
        <f t="shared" si="4"/>
        <v>0</v>
      </c>
      <c r="H35" s="5">
        <f t="shared" si="6"/>
        <v>0</v>
      </c>
      <c r="I35" s="5">
        <f>IF('Inputs&amp;Results'!$C$24=(A35-2020),(-'Inputs&amp;Results'!$C$23*(1+$B$15)^(A35-2021)),0)+IF('Inputs&amp;Results'!$C$25=(A35-2020),(-'Inputs&amp;Results'!$C$23*(1+$B$15)^(A35-2021)),0)</f>
        <v>0</v>
      </c>
      <c r="J35" s="5"/>
      <c r="K35" s="5">
        <f t="shared" si="0"/>
        <v>0</v>
      </c>
      <c r="N35" s="5">
        <f t="shared" si="1"/>
        <v>0</v>
      </c>
      <c r="O35" s="4">
        <f>O34+(O38-O33)/5</f>
        <v>64</v>
      </c>
      <c r="P35" s="4"/>
      <c r="Q35">
        <f t="shared" si="7"/>
        <v>0</v>
      </c>
      <c r="R35">
        <f t="shared" si="8"/>
        <v>0</v>
      </c>
      <c r="S35">
        <f t="shared" si="9"/>
        <v>0</v>
      </c>
    </row>
    <row r="36" spans="1:19" x14ac:dyDescent="0.2">
      <c r="A36">
        <v>2033</v>
      </c>
      <c r="B36" s="5"/>
      <c r="C36" s="5"/>
      <c r="D36" s="3">
        <f t="shared" si="5"/>
        <v>0</v>
      </c>
      <c r="E36" s="5">
        <f t="shared" si="2"/>
        <v>0</v>
      </c>
      <c r="F36" s="5">
        <f t="shared" si="3"/>
        <v>0</v>
      </c>
      <c r="G36" s="5">
        <f t="shared" si="4"/>
        <v>0</v>
      </c>
      <c r="H36" s="5">
        <f t="shared" si="6"/>
        <v>0</v>
      </c>
      <c r="I36" s="5">
        <f>IF('Inputs&amp;Results'!$C$24=(A36-2020),(-'Inputs&amp;Results'!$C$23*(1+$B$15)^(A36-2021)),0)+IF('Inputs&amp;Results'!$C$25=(A36-2020),(-'Inputs&amp;Results'!$C$23*(1+$B$15)^(A36-2021)),0)</f>
        <v>0</v>
      </c>
      <c r="J36" s="5"/>
      <c r="K36" s="5">
        <f t="shared" si="0"/>
        <v>0</v>
      </c>
      <c r="N36" s="5">
        <f t="shared" si="1"/>
        <v>0</v>
      </c>
      <c r="O36" s="4">
        <f>O35+(O38-O33)/5</f>
        <v>65</v>
      </c>
      <c r="P36" s="4"/>
      <c r="Q36">
        <f t="shared" si="7"/>
        <v>0</v>
      </c>
      <c r="R36">
        <f t="shared" si="8"/>
        <v>0</v>
      </c>
      <c r="S36">
        <f t="shared" si="9"/>
        <v>0</v>
      </c>
    </row>
    <row r="37" spans="1:19" x14ac:dyDescent="0.2">
      <c r="A37">
        <v>2034</v>
      </c>
      <c r="B37" s="5"/>
      <c r="C37" s="5"/>
      <c r="D37" s="3">
        <f t="shared" si="5"/>
        <v>0</v>
      </c>
      <c r="E37" s="5">
        <f t="shared" si="2"/>
        <v>0</v>
      </c>
      <c r="F37" s="5">
        <f t="shared" si="3"/>
        <v>0</v>
      </c>
      <c r="G37" s="5">
        <f t="shared" si="4"/>
        <v>0</v>
      </c>
      <c r="H37" s="5">
        <f t="shared" si="6"/>
        <v>0</v>
      </c>
      <c r="I37" s="5">
        <f>IF('Inputs&amp;Results'!$C$24=(A37-2020),(-'Inputs&amp;Results'!$C$23*(1+$B$15)^(A37-2021)),0)+IF('Inputs&amp;Results'!$C$25=(A37-2020),(-'Inputs&amp;Results'!$C$23*(1+$B$15)^(A37-2021)),0)</f>
        <v>0</v>
      </c>
      <c r="J37" s="5"/>
      <c r="K37" s="5">
        <f t="shared" si="0"/>
        <v>0</v>
      </c>
      <c r="N37" s="5">
        <f t="shared" si="1"/>
        <v>0</v>
      </c>
      <c r="O37" s="4">
        <f>O36+(O38-O33)/5</f>
        <v>66</v>
      </c>
      <c r="P37" s="4"/>
      <c r="Q37">
        <f t="shared" si="7"/>
        <v>0</v>
      </c>
      <c r="R37">
        <f t="shared" si="8"/>
        <v>0</v>
      </c>
      <c r="S37">
        <f t="shared" si="9"/>
        <v>0</v>
      </c>
    </row>
    <row r="38" spans="1:19" x14ac:dyDescent="0.2">
      <c r="A38">
        <v>2035</v>
      </c>
      <c r="B38" s="5"/>
      <c r="C38" s="5"/>
      <c r="D38" s="3">
        <f t="shared" si="5"/>
        <v>0</v>
      </c>
      <c r="E38" s="5">
        <f t="shared" si="2"/>
        <v>0</v>
      </c>
      <c r="F38" s="5">
        <f t="shared" si="3"/>
        <v>0</v>
      </c>
      <c r="G38" s="5">
        <f t="shared" si="4"/>
        <v>0</v>
      </c>
      <c r="H38" s="5">
        <f t="shared" si="6"/>
        <v>0</v>
      </c>
      <c r="I38" s="5">
        <f>IF('Inputs&amp;Results'!$C$24=(A38-2020),(-'Inputs&amp;Results'!$C$23*(1+$B$15)^(A38-2021)),0)+IF('Inputs&amp;Results'!$C$25=(A38-2020),(-'Inputs&amp;Results'!$C$23*(1+$B$15)^(A38-2021)),0)</f>
        <v>0</v>
      </c>
      <c r="J38" s="5"/>
      <c r="K38" s="5">
        <f t="shared" si="0"/>
        <v>0</v>
      </c>
      <c r="N38" s="5">
        <f t="shared" si="1"/>
        <v>0</v>
      </c>
      <c r="O38" s="4">
        <v>67</v>
      </c>
      <c r="P38" s="4"/>
      <c r="Q38">
        <f t="shared" si="7"/>
        <v>0</v>
      </c>
      <c r="R38">
        <f t="shared" si="8"/>
        <v>0</v>
      </c>
      <c r="S38">
        <f t="shared" si="9"/>
        <v>0</v>
      </c>
    </row>
    <row r="39" spans="1:19" x14ac:dyDescent="0.2">
      <c r="A39">
        <v>2036</v>
      </c>
      <c r="B39" s="5"/>
      <c r="C39" s="5"/>
      <c r="D39" s="3">
        <f t="shared" si="5"/>
        <v>0</v>
      </c>
      <c r="E39" s="5">
        <f t="shared" si="2"/>
        <v>0</v>
      </c>
      <c r="F39" s="5">
        <f t="shared" si="3"/>
        <v>0</v>
      </c>
      <c r="G39" s="5">
        <f t="shared" si="4"/>
        <v>0</v>
      </c>
      <c r="H39" s="5">
        <f t="shared" si="6"/>
        <v>0</v>
      </c>
      <c r="I39" s="5">
        <f>IF('Inputs&amp;Results'!$C$24=(A39-2020),(-'Inputs&amp;Results'!$C$23*(1+$B$15)^(A39-2021)),0)+IF('Inputs&amp;Results'!$C$25=(A39-2020),(-'Inputs&amp;Results'!$C$23*(1+$B$15)^(A39-2021)),0)</f>
        <v>0</v>
      </c>
      <c r="J39" s="5"/>
      <c r="K39" s="5">
        <f t="shared" si="0"/>
        <v>0</v>
      </c>
      <c r="N39" s="5">
        <f t="shared" si="1"/>
        <v>0</v>
      </c>
      <c r="O39" s="4">
        <f>O38+(O43-O38)/5</f>
        <v>68.2</v>
      </c>
      <c r="P39" s="4"/>
      <c r="Q39">
        <f t="shared" si="7"/>
        <v>0</v>
      </c>
      <c r="R39">
        <f t="shared" si="8"/>
        <v>0</v>
      </c>
      <c r="S39">
        <f t="shared" si="9"/>
        <v>0</v>
      </c>
    </row>
    <row r="40" spans="1:19" x14ac:dyDescent="0.2">
      <c r="A40">
        <v>2037</v>
      </c>
      <c r="B40" s="5"/>
      <c r="C40" s="5"/>
      <c r="D40" s="3">
        <f t="shared" si="5"/>
        <v>0</v>
      </c>
      <c r="E40" s="5">
        <f t="shared" si="2"/>
        <v>0</v>
      </c>
      <c r="F40" s="5">
        <f t="shared" si="3"/>
        <v>0</v>
      </c>
      <c r="G40" s="5">
        <f t="shared" si="4"/>
        <v>0</v>
      </c>
      <c r="H40" s="5">
        <f t="shared" si="6"/>
        <v>0</v>
      </c>
      <c r="I40" s="5">
        <f>IF('Inputs&amp;Results'!$C$24=(A40-2020),(-'Inputs&amp;Results'!$C$23*(1+$B$15)^(A40-2021)),0)+IF('Inputs&amp;Results'!$C$25=(A40-2020),(-'Inputs&amp;Results'!$C$23*(1+$B$15)^(A40-2021)),0)</f>
        <v>0</v>
      </c>
      <c r="J40" s="5"/>
      <c r="K40" s="5">
        <f t="shared" si="0"/>
        <v>0</v>
      </c>
      <c r="N40" s="5">
        <f t="shared" si="1"/>
        <v>0</v>
      </c>
      <c r="O40" s="4">
        <f>O39+(O43-O38)/5</f>
        <v>69.400000000000006</v>
      </c>
      <c r="P40" s="4"/>
      <c r="Q40">
        <f t="shared" si="7"/>
        <v>0</v>
      </c>
      <c r="R40">
        <f t="shared" si="8"/>
        <v>0</v>
      </c>
      <c r="S40">
        <f t="shared" si="9"/>
        <v>0</v>
      </c>
    </row>
    <row r="41" spans="1:19" x14ac:dyDescent="0.2">
      <c r="A41">
        <v>2038</v>
      </c>
      <c r="B41" s="5"/>
      <c r="C41" s="5"/>
      <c r="D41" s="3">
        <f t="shared" si="5"/>
        <v>0</v>
      </c>
      <c r="E41" s="5">
        <f t="shared" si="2"/>
        <v>0</v>
      </c>
      <c r="F41" s="5">
        <f t="shared" si="3"/>
        <v>0</v>
      </c>
      <c r="G41" s="5">
        <f t="shared" si="4"/>
        <v>0</v>
      </c>
      <c r="H41" s="5">
        <f t="shared" si="6"/>
        <v>0</v>
      </c>
      <c r="I41" s="5">
        <f>IF('Inputs&amp;Results'!$C$24=(A41-2020),(-'Inputs&amp;Results'!$C$23*(1+$B$15)^(A41-2021)),0)+IF('Inputs&amp;Results'!$C$25=(A41-2020),(-'Inputs&amp;Results'!$C$23*(1+$B$15)^(A41-2021)),0)</f>
        <v>0</v>
      </c>
      <c r="J41" s="5"/>
      <c r="K41" s="5">
        <f t="shared" si="0"/>
        <v>0</v>
      </c>
      <c r="N41" s="5">
        <f t="shared" si="1"/>
        <v>0</v>
      </c>
      <c r="O41" s="4">
        <f>O40+(O43-O38)/5</f>
        <v>70.600000000000009</v>
      </c>
      <c r="P41" s="4"/>
      <c r="Q41">
        <f t="shared" si="7"/>
        <v>0</v>
      </c>
      <c r="R41">
        <f t="shared" si="8"/>
        <v>0</v>
      </c>
      <c r="S41">
        <f t="shared" si="9"/>
        <v>0</v>
      </c>
    </row>
    <row r="42" spans="1:19" x14ac:dyDescent="0.2">
      <c r="A42">
        <v>2039</v>
      </c>
      <c r="B42" s="5"/>
      <c r="C42" s="5"/>
      <c r="D42" s="3">
        <f t="shared" si="5"/>
        <v>0</v>
      </c>
      <c r="E42" s="5">
        <f t="shared" si="2"/>
        <v>0</v>
      </c>
      <c r="F42" s="5">
        <f t="shared" si="3"/>
        <v>0</v>
      </c>
      <c r="G42" s="5">
        <f t="shared" si="4"/>
        <v>0</v>
      </c>
      <c r="H42" s="5">
        <f t="shared" si="6"/>
        <v>0</v>
      </c>
      <c r="I42" s="5">
        <f>IF('Inputs&amp;Results'!$C$24=(A42-2020),(-'Inputs&amp;Results'!$C$23*(1+$B$15)^(A42-2021)),0)+IF('Inputs&amp;Results'!$C$25=(A42-2020),(-'Inputs&amp;Results'!$C$23*(1+$B$15)^(A42-2021)),0)</f>
        <v>0</v>
      </c>
      <c r="J42" s="5"/>
      <c r="K42" s="5">
        <f t="shared" si="0"/>
        <v>0</v>
      </c>
      <c r="N42" s="5">
        <f t="shared" si="1"/>
        <v>0</v>
      </c>
      <c r="O42" s="4">
        <f>O41+(O43-O38)/5</f>
        <v>71.800000000000011</v>
      </c>
      <c r="P42" s="4"/>
      <c r="Q42">
        <f t="shared" si="7"/>
        <v>0</v>
      </c>
      <c r="R42">
        <f t="shared" si="8"/>
        <v>0</v>
      </c>
      <c r="S42">
        <f t="shared" si="9"/>
        <v>0</v>
      </c>
    </row>
    <row r="43" spans="1:19" x14ac:dyDescent="0.2">
      <c r="A43">
        <v>2040</v>
      </c>
      <c r="B43" s="5"/>
      <c r="C43" s="5"/>
      <c r="D43" s="3">
        <f t="shared" si="5"/>
        <v>0</v>
      </c>
      <c r="E43" s="5">
        <f t="shared" si="2"/>
        <v>0</v>
      </c>
      <c r="F43" s="5">
        <f t="shared" si="3"/>
        <v>0</v>
      </c>
      <c r="G43" s="5">
        <f t="shared" si="4"/>
        <v>0</v>
      </c>
      <c r="H43" s="5">
        <f t="shared" si="6"/>
        <v>0</v>
      </c>
      <c r="I43" s="5">
        <f>IF('Inputs&amp;Results'!$C$24=(A43-2020),(-'Inputs&amp;Results'!$C$23*(1+$B$15)^(A43-2021)),0)+IF('Inputs&amp;Results'!$C$25=(A43-2020),(-'Inputs&amp;Results'!$C$23*(1+$B$15)^(A43-2021)),0)</f>
        <v>0</v>
      </c>
      <c r="J43" s="5"/>
      <c r="K43" s="5">
        <f t="shared" si="0"/>
        <v>0</v>
      </c>
      <c r="N43" s="5">
        <f t="shared" si="1"/>
        <v>0</v>
      </c>
      <c r="O43" s="4">
        <v>73</v>
      </c>
      <c r="P43" s="4"/>
      <c r="Q43">
        <f t="shared" si="7"/>
        <v>0</v>
      </c>
      <c r="R43">
        <f t="shared" si="8"/>
        <v>0</v>
      </c>
      <c r="S43">
        <f t="shared" si="9"/>
        <v>0</v>
      </c>
    </row>
    <row r="44" spans="1:19" x14ac:dyDescent="0.2">
      <c r="A44">
        <v>2041</v>
      </c>
      <c r="B44" s="5"/>
      <c r="C44" s="5"/>
      <c r="D44" s="3">
        <f t="shared" si="5"/>
        <v>0</v>
      </c>
      <c r="E44" s="5">
        <f t="shared" si="2"/>
        <v>0</v>
      </c>
      <c r="F44" s="5">
        <f t="shared" si="3"/>
        <v>0</v>
      </c>
      <c r="G44" s="5">
        <f t="shared" si="4"/>
        <v>0</v>
      </c>
      <c r="H44" s="5">
        <f t="shared" si="6"/>
        <v>0</v>
      </c>
      <c r="I44" s="5">
        <f>IF('Inputs&amp;Results'!$C$24=(A44-2020),(-'Inputs&amp;Results'!$C$23*(1+$B$15)^(A44-2021)),0)+IF('Inputs&amp;Results'!$C$25=(A44-2020),(-'Inputs&amp;Results'!$C$23*(1+$B$15)^(A44-2021)),0)</f>
        <v>0</v>
      </c>
      <c r="J44" s="5"/>
      <c r="K44" s="5">
        <f t="shared" si="0"/>
        <v>0</v>
      </c>
      <c r="N44" s="5">
        <f t="shared" si="1"/>
        <v>0</v>
      </c>
      <c r="O44" s="4">
        <f>O43+(O48-O43)/5</f>
        <v>74.2</v>
      </c>
      <c r="P44" s="4"/>
      <c r="Q44">
        <f t="shared" si="7"/>
        <v>0</v>
      </c>
      <c r="R44">
        <f t="shared" si="8"/>
        <v>0</v>
      </c>
      <c r="S44">
        <f t="shared" si="9"/>
        <v>0</v>
      </c>
    </row>
    <row r="45" spans="1:19" x14ac:dyDescent="0.2">
      <c r="A45">
        <v>2042</v>
      </c>
      <c r="B45" s="5"/>
      <c r="C45" s="5"/>
      <c r="D45" s="3">
        <f t="shared" si="5"/>
        <v>0</v>
      </c>
      <c r="E45" s="5">
        <f t="shared" si="2"/>
        <v>0</v>
      </c>
      <c r="F45" s="5">
        <f t="shared" si="3"/>
        <v>0</v>
      </c>
      <c r="G45" s="5">
        <f t="shared" si="4"/>
        <v>0</v>
      </c>
      <c r="H45" s="5">
        <f t="shared" si="6"/>
        <v>0</v>
      </c>
      <c r="I45" s="5">
        <f>IF('Inputs&amp;Results'!$C$24=(A45-2020),(-'Inputs&amp;Results'!$C$23*(1+$B$15)^(A45-2021)),0)+IF('Inputs&amp;Results'!$C$25=(A45-2020),(-'Inputs&amp;Results'!$C$23*(1+$B$15)^(A45-2021)),0)</f>
        <v>0</v>
      </c>
      <c r="J45" s="5"/>
      <c r="K45" s="5">
        <f t="shared" si="0"/>
        <v>0</v>
      </c>
      <c r="N45" s="5">
        <f t="shared" si="1"/>
        <v>0</v>
      </c>
      <c r="O45" s="4">
        <f>O44+(O48-O43)/5</f>
        <v>75.400000000000006</v>
      </c>
      <c r="P45" s="4"/>
      <c r="Q45">
        <f t="shared" si="7"/>
        <v>0</v>
      </c>
      <c r="R45">
        <f t="shared" si="8"/>
        <v>0</v>
      </c>
      <c r="S45">
        <f t="shared" si="9"/>
        <v>0</v>
      </c>
    </row>
    <row r="46" spans="1:19" x14ac:dyDescent="0.2">
      <c r="A46">
        <v>2043</v>
      </c>
      <c r="B46" s="5"/>
      <c r="C46" s="5"/>
      <c r="D46" s="3">
        <f t="shared" si="5"/>
        <v>0</v>
      </c>
      <c r="E46" s="5">
        <f t="shared" si="2"/>
        <v>0</v>
      </c>
      <c r="F46" s="5">
        <f t="shared" si="3"/>
        <v>0</v>
      </c>
      <c r="G46" s="5">
        <f t="shared" si="4"/>
        <v>0</v>
      </c>
      <c r="H46" s="5">
        <f t="shared" si="6"/>
        <v>0</v>
      </c>
      <c r="I46" s="5">
        <f>IF('Inputs&amp;Results'!$C$24=(A46-2020),(-'Inputs&amp;Results'!$C$23*(1+$B$15)^(A46-2021)),0)+IF('Inputs&amp;Results'!$C$25=(A46-2020),(-'Inputs&amp;Results'!$C$23*(1+$B$15)^(A46-2021)),0)</f>
        <v>0</v>
      </c>
      <c r="J46" s="5"/>
      <c r="K46" s="5">
        <f t="shared" si="0"/>
        <v>0</v>
      </c>
      <c r="N46" s="5">
        <f t="shared" si="1"/>
        <v>0</v>
      </c>
      <c r="O46" s="4">
        <f>O45+(O48-O43)/5</f>
        <v>76.600000000000009</v>
      </c>
      <c r="P46" s="4"/>
      <c r="Q46">
        <f t="shared" si="7"/>
        <v>0</v>
      </c>
      <c r="R46">
        <f t="shared" si="8"/>
        <v>0</v>
      </c>
      <c r="S46">
        <f t="shared" si="9"/>
        <v>0</v>
      </c>
    </row>
    <row r="47" spans="1:19" x14ac:dyDescent="0.2">
      <c r="A47">
        <v>2044</v>
      </c>
      <c r="B47" s="5"/>
      <c r="C47" s="5"/>
      <c r="D47" s="3">
        <f t="shared" si="5"/>
        <v>0</v>
      </c>
      <c r="E47" s="5">
        <f t="shared" si="2"/>
        <v>0</v>
      </c>
      <c r="F47" s="5">
        <f t="shared" si="3"/>
        <v>0</v>
      </c>
      <c r="G47" s="5">
        <f t="shared" si="4"/>
        <v>0</v>
      </c>
      <c r="H47" s="5">
        <f t="shared" si="6"/>
        <v>0</v>
      </c>
      <c r="I47" s="5">
        <f>IF('Inputs&amp;Results'!$C$24=(A47-2020),(-'Inputs&amp;Results'!$C$23*(1+$B$15)^(A47-2021)),0)+IF('Inputs&amp;Results'!$C$25=(A47-2020),(-'Inputs&amp;Results'!$C$23*(1+$B$15)^(A47-2021)),0)</f>
        <v>0</v>
      </c>
      <c r="J47" s="5"/>
      <c r="K47" s="5">
        <f t="shared" si="0"/>
        <v>0</v>
      </c>
      <c r="N47" s="5">
        <f t="shared" si="1"/>
        <v>0</v>
      </c>
      <c r="O47" s="4">
        <f>O46+(O48-O43)/5</f>
        <v>77.800000000000011</v>
      </c>
      <c r="P47" s="4"/>
      <c r="Q47">
        <f t="shared" si="7"/>
        <v>0</v>
      </c>
      <c r="R47">
        <f t="shared" si="8"/>
        <v>0</v>
      </c>
      <c r="S47">
        <f t="shared" si="9"/>
        <v>0</v>
      </c>
    </row>
    <row r="48" spans="1:19" x14ac:dyDescent="0.2">
      <c r="A48">
        <v>2045</v>
      </c>
      <c r="B48" s="5"/>
      <c r="C48" s="5"/>
      <c r="D48" s="3">
        <f t="shared" si="5"/>
        <v>0</v>
      </c>
      <c r="E48" s="5">
        <f t="shared" si="2"/>
        <v>0</v>
      </c>
      <c r="F48" s="5">
        <f t="shared" si="3"/>
        <v>0</v>
      </c>
      <c r="G48" s="5">
        <f t="shared" si="4"/>
        <v>0</v>
      </c>
      <c r="H48" s="5">
        <f t="shared" si="6"/>
        <v>0</v>
      </c>
      <c r="I48" s="5">
        <f>IF('Inputs&amp;Results'!$C$24=(A48-2020),(-'Inputs&amp;Results'!$C$23*(1+$B$15)^(A48-2021)),0)+IF('Inputs&amp;Results'!$C$25=(A48-2020),(-'Inputs&amp;Results'!$C$23*(1+$B$15)^(A48-2021)),0)</f>
        <v>0</v>
      </c>
      <c r="J48" s="5"/>
      <c r="K48" s="5">
        <f t="shared" si="0"/>
        <v>0</v>
      </c>
      <c r="N48" s="5">
        <f t="shared" si="1"/>
        <v>0</v>
      </c>
      <c r="O48" s="4">
        <v>79</v>
      </c>
      <c r="P48" s="4"/>
      <c r="Q48">
        <f t="shared" si="7"/>
        <v>0</v>
      </c>
      <c r="R48">
        <f t="shared" si="8"/>
        <v>0</v>
      </c>
      <c r="S48">
        <f t="shared" si="9"/>
        <v>0</v>
      </c>
    </row>
    <row r="49" spans="1:19" x14ac:dyDescent="0.2">
      <c r="A49">
        <v>2046</v>
      </c>
      <c r="B49" s="5"/>
      <c r="C49" s="5"/>
      <c r="D49" s="3">
        <f t="shared" si="5"/>
        <v>0</v>
      </c>
      <c r="E49" s="5">
        <f t="shared" si="2"/>
        <v>0</v>
      </c>
      <c r="F49" s="5">
        <f t="shared" si="3"/>
        <v>0</v>
      </c>
      <c r="G49" s="5">
        <f t="shared" si="4"/>
        <v>0</v>
      </c>
      <c r="H49" s="5">
        <f t="shared" si="6"/>
        <v>0</v>
      </c>
      <c r="I49" s="5">
        <f>IF('Inputs&amp;Results'!$C$24=(A49-2020),(-'Inputs&amp;Results'!$C$23*(1+$B$15)^(A49-2021)),0)+IF('Inputs&amp;Results'!$C$25=(A49-2020),(-'Inputs&amp;Results'!$C$23*(1+$B$15)^(A49-2021)),0)</f>
        <v>0</v>
      </c>
      <c r="J49" s="5"/>
      <c r="K49" s="5">
        <f t="shared" si="0"/>
        <v>0</v>
      </c>
      <c r="N49" s="5">
        <f t="shared" si="1"/>
        <v>0</v>
      </c>
      <c r="O49" s="4">
        <f>O48+(O53-O48)/5</f>
        <v>80.2</v>
      </c>
      <c r="P49" s="4"/>
      <c r="Q49">
        <f t="shared" si="7"/>
        <v>0</v>
      </c>
      <c r="R49">
        <f t="shared" si="8"/>
        <v>0</v>
      </c>
      <c r="S49">
        <f t="shared" si="9"/>
        <v>0</v>
      </c>
    </row>
    <row r="50" spans="1:19" x14ac:dyDescent="0.2">
      <c r="A50">
        <v>2047</v>
      </c>
      <c r="B50" s="5"/>
      <c r="C50" s="5"/>
      <c r="D50" s="3">
        <f t="shared" si="5"/>
        <v>0</v>
      </c>
      <c r="E50" s="5">
        <f t="shared" si="2"/>
        <v>0</v>
      </c>
      <c r="F50" s="5">
        <f t="shared" si="3"/>
        <v>0</v>
      </c>
      <c r="G50" s="5">
        <f t="shared" si="4"/>
        <v>0</v>
      </c>
      <c r="H50" s="5">
        <f t="shared" si="6"/>
        <v>0</v>
      </c>
      <c r="I50" s="5">
        <f>IF('Inputs&amp;Results'!$C$24=(A50-2020),(-'Inputs&amp;Results'!$C$23*(1+$B$15)^(A50-2021)),0)+IF('Inputs&amp;Results'!$C$25=(A50-2020),(-'Inputs&amp;Results'!$C$23*(1+$B$15)^(A50-2021)),0)</f>
        <v>0</v>
      </c>
      <c r="J50" s="5"/>
      <c r="K50" s="5">
        <f t="shared" si="0"/>
        <v>0</v>
      </c>
      <c r="N50" s="5">
        <f t="shared" si="1"/>
        <v>0</v>
      </c>
      <c r="O50" s="4">
        <f>O49+(O53-O48)/5</f>
        <v>81.400000000000006</v>
      </c>
      <c r="P50" s="4"/>
      <c r="Q50">
        <f t="shared" si="7"/>
        <v>0</v>
      </c>
      <c r="R50">
        <f t="shared" si="8"/>
        <v>0</v>
      </c>
      <c r="S50">
        <f t="shared" si="9"/>
        <v>0</v>
      </c>
    </row>
    <row r="51" spans="1:19" x14ac:dyDescent="0.2">
      <c r="A51">
        <v>2048</v>
      </c>
      <c r="B51" s="5"/>
      <c r="C51" s="5"/>
      <c r="D51" s="3">
        <f t="shared" si="5"/>
        <v>0</v>
      </c>
      <c r="E51" s="5">
        <f t="shared" si="2"/>
        <v>0</v>
      </c>
      <c r="F51" s="5">
        <f t="shared" si="3"/>
        <v>0</v>
      </c>
      <c r="G51" s="5">
        <f t="shared" si="4"/>
        <v>0</v>
      </c>
      <c r="H51" s="5">
        <f t="shared" si="6"/>
        <v>0</v>
      </c>
      <c r="I51" s="5">
        <f>IF('Inputs&amp;Results'!$C$24=(A51-2020),(-'Inputs&amp;Results'!$C$23*(1+$B$15)^(A51-2021)),0)+IF('Inputs&amp;Results'!$C$25=(A51-2020),(-'Inputs&amp;Results'!$C$23*(1+$B$15)^(A51-2021)),0)</f>
        <v>0</v>
      </c>
      <c r="J51" s="5"/>
      <c r="K51" s="5">
        <f t="shared" si="0"/>
        <v>0</v>
      </c>
      <c r="N51" s="5">
        <f t="shared" si="1"/>
        <v>0</v>
      </c>
      <c r="O51" s="4">
        <f>O50+(O53-O48)/5</f>
        <v>82.600000000000009</v>
      </c>
      <c r="P51" s="4"/>
      <c r="Q51">
        <f t="shared" si="7"/>
        <v>0</v>
      </c>
      <c r="R51">
        <f t="shared" si="8"/>
        <v>0</v>
      </c>
      <c r="S51">
        <f t="shared" si="9"/>
        <v>0</v>
      </c>
    </row>
    <row r="52" spans="1:19" x14ac:dyDescent="0.2">
      <c r="A52">
        <v>2049</v>
      </c>
      <c r="B52" s="5"/>
      <c r="C52" s="5"/>
      <c r="D52" s="3">
        <f t="shared" si="5"/>
        <v>0</v>
      </c>
      <c r="E52" s="5">
        <f t="shared" si="2"/>
        <v>0</v>
      </c>
      <c r="F52" s="5">
        <f t="shared" si="3"/>
        <v>0</v>
      </c>
      <c r="G52" s="5">
        <f t="shared" si="4"/>
        <v>0</v>
      </c>
      <c r="H52" s="5">
        <f t="shared" si="6"/>
        <v>0</v>
      </c>
      <c r="I52" s="5">
        <f>IF('Inputs&amp;Results'!$C$24=(A52-2020),(-'Inputs&amp;Results'!$C$23*(1+$B$15)^(A52-2021)),0)+IF('Inputs&amp;Results'!$C$25=(A52-2020),(-'Inputs&amp;Results'!$C$23*(1+$B$15)^(A52-2021)),0)</f>
        <v>0</v>
      </c>
      <c r="J52" s="5"/>
      <c r="K52" s="5">
        <f t="shared" si="0"/>
        <v>0</v>
      </c>
      <c r="N52" s="5">
        <f t="shared" si="1"/>
        <v>0</v>
      </c>
      <c r="O52" s="4">
        <f>O51+(O53-O48)/5</f>
        <v>83.800000000000011</v>
      </c>
      <c r="P52" s="4"/>
      <c r="Q52">
        <f t="shared" si="7"/>
        <v>0</v>
      </c>
      <c r="R52">
        <f t="shared" si="8"/>
        <v>0</v>
      </c>
      <c r="S52">
        <f t="shared" si="9"/>
        <v>0</v>
      </c>
    </row>
    <row r="53" spans="1:19" x14ac:dyDescent="0.2">
      <c r="A53">
        <v>2050</v>
      </c>
      <c r="B53" s="5"/>
      <c r="C53" s="5"/>
      <c r="D53" s="3">
        <f t="shared" si="5"/>
        <v>0</v>
      </c>
      <c r="E53" s="5">
        <f t="shared" si="2"/>
        <v>0</v>
      </c>
      <c r="F53" s="5">
        <f t="shared" si="3"/>
        <v>0</v>
      </c>
      <c r="G53" s="5">
        <f t="shared" si="4"/>
        <v>0</v>
      </c>
      <c r="H53" s="5">
        <f t="shared" si="6"/>
        <v>0</v>
      </c>
      <c r="I53" s="5">
        <f>IF('Inputs&amp;Results'!$C$24=(A53-2020),(-'Inputs&amp;Results'!$C$23*(1+$B$15)^(A53-2021)),0)+IF('Inputs&amp;Results'!$C$25=(A53-2020),(-'Inputs&amp;Results'!$C$23*(1+$B$15)^(A53-2021)),0)</f>
        <v>0</v>
      </c>
      <c r="J53" s="5">
        <f>IF('Inputs&amp;Results'!C25,('Inputs&amp;Results'!C25+'Inputs&amp;Results'!C24-30)/('Inputs&amp;Results'!C25-'Inputs&amp;Results'!C24)*'Inputs&amp;Results'!C23*(1+Calculations!B15)^30,IF('Inputs&amp;Results'!C24,(2*'Inputs&amp;Results'!C24-30)/'Inputs&amp;Results'!C24*'Inputs&amp;Results'!C23*(1+Calculations!B15)^30,0))</f>
        <v>0</v>
      </c>
      <c r="K53" s="5">
        <f t="shared" si="0"/>
        <v>0</v>
      </c>
      <c r="N53" s="5">
        <f t="shared" si="1"/>
        <v>0</v>
      </c>
      <c r="O53" s="4">
        <v>85</v>
      </c>
      <c r="P53" s="4"/>
      <c r="Q53">
        <f t="shared" si="7"/>
        <v>0</v>
      </c>
      <c r="R53">
        <f t="shared" si="8"/>
        <v>0</v>
      </c>
      <c r="S53">
        <f t="shared" si="9"/>
        <v>0</v>
      </c>
    </row>
    <row r="54" spans="1:19" x14ac:dyDescent="0.2">
      <c r="L54" s="4"/>
    </row>
    <row r="55" spans="1:19" x14ac:dyDescent="0.2">
      <c r="K55" s="4">
        <f>SUM(K24:K53)</f>
        <v>0</v>
      </c>
      <c r="L55" s="4"/>
    </row>
    <row r="57" spans="1:19" x14ac:dyDescent="0.2">
      <c r="K57" s="3"/>
    </row>
  </sheetData>
  <sheetProtection algorithmName="SHA-512" hashValue="4E/ZSFxJNyz9topTeRB1WnFGf3zC42XAT4xnEac0h6nDk0af2yCvISObJ1qk8CmPRvURok+V/Ul4qfJ7buIu2w==" saltValue="ykcH2ZDUXsygHDkL/8i/Bw==" spinCount="100000" sheet="1" objects="1" scenarios="1"/>
  <phoneticPr fontId="1" type="noConversion"/>
  <hyperlinks>
    <hyperlink ref="E5" r:id="rId1" xr:uid="{78ED0ACB-94F5-47B9-B023-F4D5EF2920F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ADE4C2E2707447B9CB82004C220B41" ma:contentTypeVersion="6" ma:contentTypeDescription="Create a new document." ma:contentTypeScope="" ma:versionID="a3a865ef775eecf1bdb5dca3a38a9c6a">
  <xsd:schema xmlns:xsd="http://www.w3.org/2001/XMLSchema" xmlns:xs="http://www.w3.org/2001/XMLSchema" xmlns:p="http://schemas.microsoft.com/office/2006/metadata/properties" xmlns:ns2="792d42a6-aaf2-4196-8a7a-851fc6fc89e3" xmlns:ns3="1abeb5eb-6b4d-496d-8711-34d40d04ae0e" targetNamespace="http://schemas.microsoft.com/office/2006/metadata/properties" ma:root="true" ma:fieldsID="aa1e0aac400fcd42d4dc4ba7ac488a0f" ns2:_="" ns3:_="">
    <xsd:import namespace="792d42a6-aaf2-4196-8a7a-851fc6fc89e3"/>
    <xsd:import namespace="1abeb5eb-6b4d-496d-8711-34d40d04ae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2d42a6-aaf2-4196-8a7a-851fc6fc89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beb5eb-6b4d-496d-8711-34d40d04ae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abeb5eb-6b4d-496d-8711-34d40d04ae0e">
      <UserInfo>
        <DisplayName/>
        <AccountId xsi:nil="true"/>
        <AccountType/>
      </UserInfo>
    </SharedWithUsers>
  </documentManagement>
</p:properties>
</file>

<file path=customXml/itemProps1.xml><?xml version="1.0" encoding="utf-8"?>
<ds:datastoreItem xmlns:ds="http://schemas.openxmlformats.org/officeDocument/2006/customXml" ds:itemID="{867DC608-F866-4074-80FB-05871E92B183}">
  <ds:schemaRefs>
    <ds:schemaRef ds:uri="http://schemas.microsoft.com/sharepoint/v3/contenttype/forms"/>
  </ds:schemaRefs>
</ds:datastoreItem>
</file>

<file path=customXml/itemProps2.xml><?xml version="1.0" encoding="utf-8"?>
<ds:datastoreItem xmlns:ds="http://schemas.openxmlformats.org/officeDocument/2006/customXml" ds:itemID="{82E2B404-3DF8-4194-B53B-66117AB75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2d42a6-aaf2-4196-8a7a-851fc6fc89e3"/>
    <ds:schemaRef ds:uri="1abeb5eb-6b4d-496d-8711-34d40d04a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170BA1-2E51-4BD2-BA19-6BE8135AEA4A}">
  <ds:schemaRefs>
    <ds:schemaRef ds:uri="http://www.w3.org/XML/1998/namespace"/>
    <ds:schemaRef ds:uri="http://purl.org/dc/terms/"/>
    <ds:schemaRef ds:uri="1abeb5eb-6b4d-496d-8711-34d40d04ae0e"/>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792d42a6-aaf2-4196-8a7a-851fc6fc89e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Inputs&amp;Results</vt:lpstr>
      <vt:lpstr>Calculations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Jamie Howland</cp:lastModifiedBy>
  <cp:revision/>
  <dcterms:created xsi:type="dcterms:W3CDTF">2021-12-17T00:55:39Z</dcterms:created>
  <dcterms:modified xsi:type="dcterms:W3CDTF">2022-03-22T14:23:36Z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0x0101007EADE4C2E2707447B9CB82004C220B41</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